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Revised Process" sheetId="1" r:id="rId1"/>
    <sheet name="Revised Process -- Merchies" sheetId="2" r:id="rId2"/>
    <sheet name="Small Craft" sheetId="3" r:id="rId3"/>
  </sheets>
  <definedNames/>
  <calcPr fullCalcOnLoad="1"/>
</workbook>
</file>

<file path=xl/sharedStrings.xml><?xml version="1.0" encoding="utf-8"?>
<sst xmlns="http://schemas.openxmlformats.org/spreadsheetml/2006/main" count="274" uniqueCount="111">
  <si>
    <t>Ship Design Process</t>
  </si>
  <si>
    <t>Installation</t>
  </si>
  <si>
    <t>Mass</t>
  </si>
  <si>
    <t>Cost</t>
  </si>
  <si>
    <t>Energy Points</t>
  </si>
  <si>
    <t>Close Structure Hull</t>
  </si>
  <si>
    <t>Maneuver</t>
  </si>
  <si>
    <t>Jump</t>
  </si>
  <si>
    <t>Power Plant</t>
  </si>
  <si>
    <t>Fuel Tanks</t>
  </si>
  <si>
    <t>Fuel Scoops</t>
  </si>
  <si>
    <t>Fuel Purification</t>
  </si>
  <si>
    <t>Armor</t>
  </si>
  <si>
    <t>Command Stations</t>
  </si>
  <si>
    <t>Electronic Suite</t>
  </si>
  <si>
    <t>Particle Accelerators 1</t>
  </si>
  <si>
    <t>Particle Accelerators 2</t>
  </si>
  <si>
    <t>Particle Accelerators 3</t>
  </si>
  <si>
    <t>Meson Guns 1</t>
  </si>
  <si>
    <t>Meson Guns 2</t>
  </si>
  <si>
    <t>Meson Guns 3</t>
  </si>
  <si>
    <t xml:space="preserve">Meson Screen </t>
  </si>
  <si>
    <t>Command</t>
  </si>
  <si>
    <t>Engineering</t>
  </si>
  <si>
    <t>Gunnery</t>
  </si>
  <si>
    <t>Flight</t>
  </si>
  <si>
    <t>Troops</t>
  </si>
  <si>
    <t>Support</t>
  </si>
  <si>
    <t>Passengers</t>
  </si>
  <si>
    <t>Accomodations</t>
  </si>
  <si>
    <t>Cargo</t>
  </si>
  <si>
    <t>Balance/Total</t>
  </si>
  <si>
    <t>Size</t>
  </si>
  <si>
    <t>Electronics</t>
  </si>
  <si>
    <t>Crew</t>
  </si>
  <si>
    <t>Power</t>
  </si>
  <si>
    <t>Screen</t>
  </si>
  <si>
    <t>Cost:</t>
  </si>
  <si>
    <t>Weapon Penetration Values:</t>
  </si>
  <si>
    <t>Weapon:</t>
  </si>
  <si>
    <t>Close (1-4)</t>
  </si>
  <si>
    <t>Medium (5-8)</t>
  </si>
  <si>
    <t>Long (9-12)</t>
  </si>
  <si>
    <t>Extreme (13-16)</t>
  </si>
  <si>
    <t>PA</t>
  </si>
  <si>
    <t>GJ Rating</t>
  </si>
  <si>
    <t>Number</t>
  </si>
  <si>
    <t>Point Defense Values (Per Battery):</t>
  </si>
  <si>
    <t>Batteries</t>
  </si>
  <si>
    <t>Missiles:</t>
  </si>
  <si>
    <t>8 ton tubes</t>
  </si>
  <si>
    <t>To Hit</t>
  </si>
  <si>
    <t>No Maneuver</t>
  </si>
  <si>
    <t>Point defense weapons</t>
  </si>
  <si>
    <t>Missiles</t>
  </si>
  <si>
    <t>Total</t>
  </si>
  <si>
    <t xml:space="preserve">Value/Number </t>
  </si>
  <si>
    <t>Weight/Volume</t>
  </si>
  <si>
    <t>Control Unit</t>
  </si>
  <si>
    <t>Warhead</t>
  </si>
  <si>
    <t>Defense</t>
  </si>
  <si>
    <t>Missile G</t>
  </si>
  <si>
    <t>Warhead value</t>
  </si>
  <si>
    <t>To Hit:</t>
  </si>
  <si>
    <t>Long (9-12</t>
  </si>
  <si>
    <t>Passenger Couches</t>
  </si>
  <si>
    <t>Passenger Cabins</t>
  </si>
  <si>
    <t>Emergency Berths</t>
  </si>
  <si>
    <t>Tonnage</t>
  </si>
  <si>
    <t>(Batteries for Battery Weapons) (Number of Mounts for Main Beam Weapons) (Number of Missile Tubes)</t>
  </si>
  <si>
    <t>Value/Number (Weapons Per Battery for Battery Weapons) (Number of Crew for Crew)(Gigajoule Output for Main Battery Beam Weapons)(Tonnage of Missiles)</t>
  </si>
  <si>
    <t>Missile Tubes 1</t>
  </si>
  <si>
    <t>Missile Tubes 2</t>
  </si>
  <si>
    <t>Missile Tubes 3</t>
  </si>
  <si>
    <t>Hull</t>
  </si>
  <si>
    <t>Missile tubes</t>
  </si>
  <si>
    <t>Value/Number (Weapons Per Battery for Battery Weapons) (Number of Crew for Crew)(Missile Mass for Missiles)</t>
  </si>
  <si>
    <t>(Batteries for Battery Weapons) (Missile Tubes for Missiles)</t>
  </si>
  <si>
    <t>Jump time</t>
  </si>
  <si>
    <t>Missile Specifications:</t>
  </si>
  <si>
    <t>Penetration/Acceleration:</t>
  </si>
  <si>
    <t>Ship Design Process -- Merchant Ships</t>
  </si>
  <si>
    <t xml:space="preserve">Jump </t>
  </si>
  <si>
    <t>Electronic suite</t>
  </si>
  <si>
    <t>Beam weapons</t>
  </si>
  <si>
    <t>multiplier</t>
  </si>
  <si>
    <t>total</t>
  </si>
  <si>
    <t>percent</t>
  </si>
  <si>
    <t>of 20</t>
  </si>
  <si>
    <t>Laser PD</t>
  </si>
  <si>
    <t>Fusion Gun PD</t>
  </si>
  <si>
    <t>Laser Point Defense</t>
  </si>
  <si>
    <t>Fusion Guns PD</t>
  </si>
  <si>
    <t>Number of rolls per hit if damage tables being used:</t>
  </si>
  <si>
    <t>plus D20 roll &lt;= this for +1 hit per hit:</t>
  </si>
  <si>
    <t>Damage number if 5 step process is being used:</t>
  </si>
  <si>
    <t>plus D20 roll &lt;+ this for +1 to damage number:</t>
  </si>
  <si>
    <t>Or D20 to roll once on the damage table</t>
  </si>
  <si>
    <t>Beam Laser PD</t>
  </si>
  <si>
    <t>Value/Number (Weapons Per Battery for Battery Weapons) (Number of Crew for Crew)(Gigajoule Output for Main Battery Beam Weapons)(Tonnage of Missiles)/(Tonnage of Vehicles)</t>
  </si>
  <si>
    <t>Vehicle 1</t>
  </si>
  <si>
    <t>Vehicle 2</t>
  </si>
  <si>
    <t>Vehicle 3</t>
  </si>
  <si>
    <t>(Batteries for Battery Weapons) (Number of Mounts for Main Beam Weapons) (Number of Missile Tubes) (Number of Vehicles)</t>
  </si>
  <si>
    <t xml:space="preserve">Beam Laser </t>
  </si>
  <si>
    <t>Fusion Gun</t>
  </si>
  <si>
    <t>Lasers</t>
  </si>
  <si>
    <t>Fusion Guns</t>
  </si>
  <si>
    <t>Close (0-4)</t>
  </si>
  <si>
    <t>MG</t>
  </si>
  <si>
    <t>Ship fuel sufficient for 20 hours of continous operation at maximum 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</si>
</sst>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164" fontId="0" fillId="0" borderId="10" xfId="42" applyNumberFormat="1" applyFont="1" applyBorder="1" applyAlignment="1">
      <alignment vertical="center" wrapText="1"/>
    </xf>
    <xf numFmtId="0" fontId="32" fillId="33" borderId="10" xfId="0" applyFont="1" applyFill="1" applyBorder="1" applyAlignment="1">
      <alignment vertical="center" wrapText="1"/>
    </xf>
    <xf numFmtId="164" fontId="0" fillId="34" borderId="10" xfId="42" applyNumberFormat="1" applyFont="1" applyFill="1" applyBorder="1" applyAlignment="1">
      <alignment vertical="center" wrapText="1"/>
    </xf>
    <xf numFmtId="1" fontId="0" fillId="34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top" wrapText="1"/>
    </xf>
    <xf numFmtId="1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42" applyNumberFormat="1" applyFont="1" applyAlignment="1">
      <alignment horizontal="left"/>
    </xf>
    <xf numFmtId="164" fontId="0" fillId="0" borderId="0" xfId="42" applyNumberFormat="1" applyFont="1" applyAlignment="1">
      <alignment horizontal="left"/>
    </xf>
    <xf numFmtId="0" fontId="0" fillId="0" borderId="10" xfId="0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9" fontId="0" fillId="0" borderId="0" xfId="57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33" borderId="10" xfId="0" applyNumberFormat="1" applyFill="1" applyBorder="1" applyAlignment="1">
      <alignment/>
    </xf>
    <xf numFmtId="165" fontId="32" fillId="33" borderId="10" xfId="0" applyNumberFormat="1" applyFont="1" applyFill="1" applyBorder="1" applyAlignment="1">
      <alignment vertical="center" wrapText="1"/>
    </xf>
    <xf numFmtId="165" fontId="0" fillId="34" borderId="10" xfId="0" applyNumberFormat="1" applyFill="1" applyBorder="1" applyAlignment="1">
      <alignment vertical="center" wrapText="1"/>
    </xf>
    <xf numFmtId="165" fontId="0" fillId="34" borderId="10" xfId="0" applyNumberFormat="1" applyFill="1" applyBorder="1" applyAlignment="1">
      <alignment/>
    </xf>
    <xf numFmtId="165" fontId="3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42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Fill="1" applyBorder="1" applyAlignment="1">
      <alignment vertical="center" wrapText="1"/>
    </xf>
    <xf numFmtId="1" fontId="0" fillId="0" borderId="0" xfId="0" applyNumberFormat="1" applyAlignment="1">
      <alignment horizontal="right"/>
    </xf>
    <xf numFmtId="165" fontId="0" fillId="35" borderId="10" xfId="0" applyNumberFormat="1" applyFill="1" applyBorder="1" applyAlignment="1">
      <alignment vertical="center" wrapText="1"/>
    </xf>
    <xf numFmtId="165" fontId="0" fillId="35" borderId="10" xfId="0" applyNumberFormat="1" applyFill="1" applyBorder="1" applyAlignment="1">
      <alignment/>
    </xf>
    <xf numFmtId="164" fontId="0" fillId="35" borderId="10" xfId="42" applyNumberFormat="1" applyFont="1" applyFill="1" applyBorder="1" applyAlignment="1">
      <alignment vertical="center" wrapText="1"/>
    </xf>
    <xf numFmtId="164" fontId="0" fillId="35" borderId="11" xfId="42" applyNumberFormat="1" applyFont="1" applyFill="1" applyBorder="1" applyAlignment="1">
      <alignment vertical="center" wrapText="1"/>
    </xf>
    <xf numFmtId="164" fontId="0" fillId="35" borderId="10" xfId="42" applyNumberFormat="1" applyFont="1" applyFill="1" applyBorder="1" applyAlignment="1">
      <alignment/>
    </xf>
    <xf numFmtId="165" fontId="32" fillId="35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22.28125" style="0" customWidth="1"/>
    <col min="3" max="4" width="18.28125" style="0" customWidth="1"/>
    <col min="5" max="7" width="18.421875" style="0" customWidth="1"/>
    <col min="8" max="8" width="17.57421875" style="0" customWidth="1"/>
    <col min="9" max="9" width="15.7109375" style="0" bestFit="1" customWidth="1"/>
  </cols>
  <sheetData>
    <row r="1" spans="2:6" ht="15">
      <c r="B1" s="1" t="s">
        <v>0</v>
      </c>
      <c r="F1" s="2"/>
    </row>
    <row r="2" spans="2:7" ht="15">
      <c r="B2" s="3"/>
      <c r="C2" s="3"/>
      <c r="D2" s="3"/>
      <c r="E2" s="4"/>
      <c r="F2" s="5"/>
      <c r="G2" s="4"/>
    </row>
    <row r="3" spans="2:7" s="6" customFormat="1" ht="195">
      <c r="B3" s="7" t="s">
        <v>1</v>
      </c>
      <c r="C3" s="7" t="s">
        <v>99</v>
      </c>
      <c r="D3" s="7" t="s">
        <v>103</v>
      </c>
      <c r="E3" s="7" t="s">
        <v>2</v>
      </c>
      <c r="F3" s="8" t="s">
        <v>3</v>
      </c>
      <c r="G3" s="7" t="s">
        <v>4</v>
      </c>
    </row>
    <row r="4" spans="1:8" ht="15">
      <c r="A4" s="4"/>
      <c r="B4" s="7" t="s">
        <v>5</v>
      </c>
      <c r="C4" s="12"/>
      <c r="D4" s="12"/>
      <c r="E4" s="9">
        <v>10350</v>
      </c>
      <c r="F4" s="10">
        <f>E4*10000*0.6</f>
        <v>62100000</v>
      </c>
      <c r="G4" s="7"/>
      <c r="H4" s="45"/>
    </row>
    <row r="5" spans="1:9" ht="15">
      <c r="A5" s="4"/>
      <c r="B5" s="7" t="s">
        <v>6</v>
      </c>
      <c r="C5" s="7">
        <v>3</v>
      </c>
      <c r="D5" s="12"/>
      <c r="E5" s="11">
        <f>IF(C5&lt;1,3*C5*E4/100,(((2*C5)+(C5-1))/120)*E4)</f>
        <v>690</v>
      </c>
      <c r="F5" s="10">
        <f>(C5+2)*E5*20000</f>
        <v>69000000</v>
      </c>
      <c r="G5" s="7"/>
      <c r="H5" s="46"/>
      <c r="I5" s="44"/>
    </row>
    <row r="6" spans="1:8" ht="15">
      <c r="A6" s="4"/>
      <c r="B6" s="7" t="s">
        <v>7</v>
      </c>
      <c r="C6" s="7">
        <v>4</v>
      </c>
      <c r="D6" s="12"/>
      <c r="E6" s="11">
        <f>IF(C6&gt;0,E4*(C6+1)/120,0)</f>
        <v>431.25</v>
      </c>
      <c r="F6" s="10">
        <f>E6*400000</f>
        <v>172500000</v>
      </c>
      <c r="G6" s="7"/>
      <c r="H6" s="45"/>
    </row>
    <row r="7" spans="2:7" ht="15">
      <c r="B7" s="7" t="s">
        <v>8</v>
      </c>
      <c r="C7" s="12">
        <f>ROUNDUP(SUM(G13:G28)/10,0)*10</f>
        <v>2110</v>
      </c>
      <c r="D7" s="12"/>
      <c r="E7" s="11">
        <f>C7*0.81</f>
        <v>1709.1000000000001</v>
      </c>
      <c r="F7" s="10">
        <f>E7*300000</f>
        <v>512730000.00000006</v>
      </c>
      <c r="G7" s="13">
        <f>C7</f>
        <v>2110</v>
      </c>
    </row>
    <row r="8" spans="2:7" ht="15">
      <c r="B8" s="14" t="s">
        <v>9</v>
      </c>
      <c r="C8" s="12"/>
      <c r="D8" s="12"/>
      <c r="E8" s="19">
        <f>((E4*0.05*C6)+(E4*0.05*C5))</f>
        <v>3622.5</v>
      </c>
      <c r="F8" s="16">
        <v>0</v>
      </c>
      <c r="G8" s="17"/>
    </row>
    <row r="9" spans="2:7" ht="15">
      <c r="B9" s="14" t="s">
        <v>10</v>
      </c>
      <c r="C9" s="12"/>
      <c r="D9" s="12"/>
      <c r="E9" s="15">
        <v>0</v>
      </c>
      <c r="F9" s="16">
        <f>E4*100</f>
        <v>1035000</v>
      </c>
      <c r="G9" s="17"/>
    </row>
    <row r="10" spans="2:7" ht="15">
      <c r="B10" s="14" t="s">
        <v>11</v>
      </c>
      <c r="C10" s="12"/>
      <c r="D10" s="12"/>
      <c r="E10" s="19">
        <f>20*E8/1000</f>
        <v>72.45</v>
      </c>
      <c r="F10" s="16">
        <f>14000*E8/1000</f>
        <v>50715</v>
      </c>
      <c r="G10" s="17"/>
    </row>
    <row r="11" spans="2:7" ht="15">
      <c r="B11" s="14" t="s">
        <v>12</v>
      </c>
      <c r="C11" s="14">
        <v>9</v>
      </c>
      <c r="D11" s="12"/>
      <c r="E11" s="19">
        <f>IF(C11&gt;0,E4*(0.01+(0.005*C11)),0)</f>
        <v>569.25</v>
      </c>
      <c r="F11" s="16">
        <f>IF(C11&gt;0,E11*(30000+(5000*C11)),0)</f>
        <v>42693750</v>
      </c>
      <c r="G11" s="17"/>
    </row>
    <row r="12" spans="2:7" ht="15">
      <c r="B12" s="14" t="s">
        <v>13</v>
      </c>
      <c r="C12" s="12"/>
      <c r="D12" s="12"/>
      <c r="E12" s="19">
        <f>(E5+E6+E7+SUM(E14:E28))*0.025</f>
        <v>122.70875000000001</v>
      </c>
      <c r="F12" s="16">
        <f>E4*500</f>
        <v>5175000</v>
      </c>
      <c r="G12" s="17"/>
    </row>
    <row r="13" spans="2:7" ht="15">
      <c r="B13" s="14" t="s">
        <v>14</v>
      </c>
      <c r="C13" s="14">
        <v>7</v>
      </c>
      <c r="D13" s="14"/>
      <c r="E13" s="15">
        <f>C13^2+C13^3+C13</f>
        <v>399</v>
      </c>
      <c r="F13" s="16">
        <f>400000*C13^3</f>
        <v>137200000</v>
      </c>
      <c r="G13" s="17">
        <f>E13/2</f>
        <v>199.5</v>
      </c>
    </row>
    <row r="14" spans="2:7" ht="15">
      <c r="B14" s="17" t="s">
        <v>15</v>
      </c>
      <c r="C14" s="14">
        <v>2400</v>
      </c>
      <c r="D14" s="14">
        <v>8</v>
      </c>
      <c r="E14" s="15">
        <f>C14*D14/20</f>
        <v>960</v>
      </c>
      <c r="F14" s="16">
        <f aca="true" t="shared" si="0" ref="F14:F19">E14*200000</f>
        <v>192000000</v>
      </c>
      <c r="G14" s="17">
        <f>E14</f>
        <v>960</v>
      </c>
    </row>
    <row r="15" spans="2:7" ht="15">
      <c r="B15" s="17" t="s">
        <v>16</v>
      </c>
      <c r="C15" s="14">
        <v>600</v>
      </c>
      <c r="D15" s="14">
        <v>12</v>
      </c>
      <c r="E15" s="15">
        <f>C15*D15/20</f>
        <v>360</v>
      </c>
      <c r="F15" s="16">
        <f t="shared" si="0"/>
        <v>72000000</v>
      </c>
      <c r="G15" s="17">
        <f>E15</f>
        <v>360</v>
      </c>
    </row>
    <row r="16" spans="2:7" ht="15">
      <c r="B16" s="17" t="s">
        <v>17</v>
      </c>
      <c r="C16" s="14"/>
      <c r="D16" s="14"/>
      <c r="E16" s="15">
        <f>C16*D16/20</f>
        <v>0</v>
      </c>
      <c r="F16" s="16">
        <f t="shared" si="0"/>
        <v>0</v>
      </c>
      <c r="G16" s="17">
        <f>E16</f>
        <v>0</v>
      </c>
    </row>
    <row r="17" spans="2:7" ht="15">
      <c r="B17" s="14" t="s">
        <v>18</v>
      </c>
      <c r="C17" s="14"/>
      <c r="D17" s="14"/>
      <c r="E17" s="15">
        <f>C17/10</f>
        <v>0</v>
      </c>
      <c r="F17" s="16">
        <f t="shared" si="0"/>
        <v>0</v>
      </c>
      <c r="G17" s="17">
        <f>C17/15</f>
        <v>0</v>
      </c>
    </row>
    <row r="18" spans="2:7" ht="15">
      <c r="B18" s="14" t="s">
        <v>19</v>
      </c>
      <c r="C18" s="14"/>
      <c r="D18" s="14"/>
      <c r="E18" s="15">
        <f>C18/10</f>
        <v>0</v>
      </c>
      <c r="F18" s="16">
        <f t="shared" si="0"/>
        <v>0</v>
      </c>
      <c r="G18" s="17">
        <f>C18/15</f>
        <v>0</v>
      </c>
    </row>
    <row r="19" spans="2:7" ht="15">
      <c r="B19" s="14" t="s">
        <v>20</v>
      </c>
      <c r="C19" s="14"/>
      <c r="D19" s="14"/>
      <c r="E19" s="15">
        <f>C19/10</f>
        <v>0</v>
      </c>
      <c r="F19" s="16">
        <f t="shared" si="0"/>
        <v>0</v>
      </c>
      <c r="G19" s="17">
        <f>C19/15</f>
        <v>0</v>
      </c>
    </row>
    <row r="20" spans="2:7" ht="15">
      <c r="B20" s="17" t="s">
        <v>89</v>
      </c>
      <c r="C20" s="14">
        <v>4</v>
      </c>
      <c r="D20" s="14">
        <v>6</v>
      </c>
      <c r="E20" s="15">
        <f>C20*D20*2</f>
        <v>48</v>
      </c>
      <c r="F20" s="16">
        <f>E20*100000</f>
        <v>4800000</v>
      </c>
      <c r="G20" s="17">
        <f>E20</f>
        <v>48</v>
      </c>
    </row>
    <row r="21" spans="2:7" ht="15">
      <c r="B21" s="17" t="s">
        <v>90</v>
      </c>
      <c r="C21" s="14">
        <v>2</v>
      </c>
      <c r="D21" s="14">
        <v>8</v>
      </c>
      <c r="E21" s="15">
        <f>C21*D21*6</f>
        <v>96</v>
      </c>
      <c r="F21" s="16">
        <f>E21*100000</f>
        <v>9600000</v>
      </c>
      <c r="G21" s="17">
        <f>C21*D21*8</f>
        <v>128</v>
      </c>
    </row>
    <row r="22" spans="2:7" ht="15">
      <c r="B22" s="18" t="s">
        <v>71</v>
      </c>
      <c r="C22" s="14">
        <v>8</v>
      </c>
      <c r="D22" s="14">
        <v>20</v>
      </c>
      <c r="E22" s="15">
        <f aca="true" t="shared" si="1" ref="E22:E27">C22*D22*1.25</f>
        <v>200</v>
      </c>
      <c r="F22" s="16">
        <f>E22*15000</f>
        <v>3000000</v>
      </c>
      <c r="G22" s="17"/>
    </row>
    <row r="23" spans="2:7" ht="15">
      <c r="B23" s="18" t="s">
        <v>72</v>
      </c>
      <c r="C23" s="14"/>
      <c r="D23" s="14"/>
      <c r="E23" s="15">
        <f t="shared" si="1"/>
        <v>0</v>
      </c>
      <c r="F23" s="16">
        <f>E23*15000</f>
        <v>0</v>
      </c>
      <c r="G23" s="17"/>
    </row>
    <row r="24" spans="2:7" ht="15">
      <c r="B24" s="18" t="s">
        <v>73</v>
      </c>
      <c r="C24" s="14"/>
      <c r="D24" s="14"/>
      <c r="E24" s="15">
        <f t="shared" si="1"/>
        <v>0</v>
      </c>
      <c r="F24" s="16">
        <f>E24*15000</f>
        <v>0</v>
      </c>
      <c r="G24" s="17"/>
    </row>
    <row r="25" spans="2:7" ht="15">
      <c r="B25" s="18" t="s">
        <v>100</v>
      </c>
      <c r="C25" s="14"/>
      <c r="D25" s="14"/>
      <c r="E25" s="15">
        <f t="shared" si="1"/>
        <v>0</v>
      </c>
      <c r="F25" s="16">
        <f>E25*10000</f>
        <v>0</v>
      </c>
      <c r="G25" s="17"/>
    </row>
    <row r="26" spans="2:7" ht="15">
      <c r="B26" s="18" t="s">
        <v>101</v>
      </c>
      <c r="C26" s="14"/>
      <c r="D26" s="14"/>
      <c r="E26" s="15">
        <f t="shared" si="1"/>
        <v>0</v>
      </c>
      <c r="F26" s="16">
        <f>E26*10000</f>
        <v>0</v>
      </c>
      <c r="G26" s="17"/>
    </row>
    <row r="27" spans="2:7" ht="15">
      <c r="B27" s="18" t="s">
        <v>102</v>
      </c>
      <c r="C27" s="14"/>
      <c r="D27" s="14"/>
      <c r="E27" s="15">
        <f t="shared" si="1"/>
        <v>0</v>
      </c>
      <c r="F27" s="16">
        <f>E27*10000</f>
        <v>0</v>
      </c>
      <c r="G27" s="17"/>
    </row>
    <row r="28" spans="2:7" ht="15">
      <c r="B28" s="14" t="s">
        <v>21</v>
      </c>
      <c r="C28" s="14">
        <v>4</v>
      </c>
      <c r="D28" s="14"/>
      <c r="E28" s="15">
        <f>C28*0.01*E4</f>
        <v>414</v>
      </c>
      <c r="F28" s="16">
        <f>C28*4000000</f>
        <v>16000000</v>
      </c>
      <c r="G28" s="17">
        <f>E4*0.01*C28</f>
        <v>414</v>
      </c>
    </row>
    <row r="29" spans="2:7" ht="15">
      <c r="B29" s="14" t="s">
        <v>22</v>
      </c>
      <c r="C29" s="19">
        <f>IF(E4&lt;20000,10,E4/2000)</f>
        <v>10</v>
      </c>
      <c r="D29" s="20"/>
      <c r="E29" s="15"/>
      <c r="F29" s="16"/>
      <c r="G29" s="17"/>
    </row>
    <row r="30" spans="2:7" ht="15">
      <c r="B30" s="14" t="s">
        <v>23</v>
      </c>
      <c r="C30" s="19">
        <f>(E5+E6+E7)/100</f>
        <v>28.303500000000003</v>
      </c>
      <c r="D30" s="20"/>
      <c r="E30" s="15"/>
      <c r="F30" s="16"/>
      <c r="G30" s="17"/>
    </row>
    <row r="31" spans="2:7" ht="15">
      <c r="B31" s="14" t="s">
        <v>24</v>
      </c>
      <c r="C31" s="19">
        <f>(C28*4)+SUM(E14:E19)/100+SUM(D20:D21)+SUM(E22:E24)/20</f>
        <v>53.2</v>
      </c>
      <c r="D31" s="20"/>
      <c r="E31" s="15"/>
      <c r="F31" s="16"/>
      <c r="G31" s="17"/>
    </row>
    <row r="32" spans="2:7" ht="15">
      <c r="B32" s="14" t="s">
        <v>25</v>
      </c>
      <c r="C32" s="19">
        <f>SUM(D25:D27)*3</f>
        <v>0</v>
      </c>
      <c r="D32" s="20"/>
      <c r="E32" s="15"/>
      <c r="F32" s="16"/>
      <c r="G32" s="17"/>
    </row>
    <row r="33" spans="2:7" ht="15">
      <c r="B33" s="14" t="s">
        <v>26</v>
      </c>
      <c r="C33" s="37"/>
      <c r="D33" s="20"/>
      <c r="E33" s="15"/>
      <c r="F33" s="16"/>
      <c r="G33" s="17"/>
    </row>
    <row r="34" spans="2:7" ht="15">
      <c r="B34" s="14" t="s">
        <v>27</v>
      </c>
      <c r="C34" s="19">
        <f>IF(C33=0,E4/333,E4/500)</f>
        <v>31.08108108108108</v>
      </c>
      <c r="D34" s="20"/>
      <c r="E34" s="15"/>
      <c r="F34" s="16"/>
      <c r="G34" s="17"/>
    </row>
    <row r="35" spans="2:7" ht="15">
      <c r="B35" s="14" t="s">
        <v>28</v>
      </c>
      <c r="C35" s="20">
        <v>20</v>
      </c>
      <c r="D35" s="20"/>
      <c r="E35" s="15"/>
      <c r="F35" s="16"/>
      <c r="G35" s="17"/>
    </row>
    <row r="36" spans="2:7" ht="15">
      <c r="B36" s="14" t="s">
        <v>29</v>
      </c>
      <c r="C36" s="17"/>
      <c r="D36" s="17"/>
      <c r="E36" s="19">
        <f>((C29+C30+C31+C32+(C33*2)+C34+C35)*2)+10</f>
        <v>295.16916216216214</v>
      </c>
      <c r="F36" s="16">
        <f>E36*12500</f>
        <v>3689614.5270270268</v>
      </c>
      <c r="G36" s="17"/>
    </row>
    <row r="37" spans="2:7" ht="15">
      <c r="B37" s="14" t="s">
        <v>30</v>
      </c>
      <c r="C37" s="17"/>
      <c r="D37" s="17"/>
      <c r="E37" s="19">
        <f>IF(C37&gt;0,C37,E4*0.025)</f>
        <v>258.75</v>
      </c>
      <c r="F37" s="16">
        <f>E37*10000</f>
        <v>2587500</v>
      </c>
      <c r="G37" s="17"/>
    </row>
    <row r="38" ht="15">
      <c r="F38" s="2"/>
    </row>
    <row r="39" ht="15">
      <c r="F39" s="2"/>
    </row>
    <row r="40" spans="2:7" ht="15">
      <c r="B40" t="s">
        <v>31</v>
      </c>
      <c r="E40" s="21">
        <f>E4-SUM(E5:E39)</f>
        <v>101.8220878378379</v>
      </c>
      <c r="F40" s="2">
        <f>SUM(F4:F39)</f>
        <v>1306161579.5270271</v>
      </c>
      <c r="G40">
        <f>G7-SUM(G8:G39)</f>
        <v>0.5</v>
      </c>
    </row>
    <row r="41" ht="15">
      <c r="F41" s="2"/>
    </row>
    <row r="42" spans="2:7" ht="15">
      <c r="B42" t="s">
        <v>78</v>
      </c>
      <c r="C42" s="22">
        <f>E4^(1/3)/5</f>
        <v>4.35856418226564</v>
      </c>
      <c r="D42" s="23" t="s">
        <v>32</v>
      </c>
      <c r="E42" s="22">
        <f>(LOG(E4)-LOG(12.5)+LOG(2)*7)/LOG(2)</f>
        <v>16.693486957499324</v>
      </c>
      <c r="F42" s="2" t="s">
        <v>33</v>
      </c>
      <c r="G42" s="23">
        <f>C13</f>
        <v>7</v>
      </c>
    </row>
    <row r="43" ht="15">
      <c r="F43" s="2"/>
    </row>
    <row r="44" spans="2:7" ht="15">
      <c r="B44" t="s">
        <v>34</v>
      </c>
      <c r="C44" s="22">
        <f>SUM(C29:C34)</f>
        <v>122.58458108108108</v>
      </c>
      <c r="D44" t="s">
        <v>2</v>
      </c>
      <c r="E44" s="24">
        <f>E4</f>
        <v>10350</v>
      </c>
      <c r="F44" s="2" t="s">
        <v>35</v>
      </c>
      <c r="G44" s="23">
        <f>C7</f>
        <v>2110</v>
      </c>
    </row>
    <row r="45" spans="3:7" ht="15">
      <c r="C45" s="22"/>
      <c r="E45" s="24"/>
      <c r="F45" s="2"/>
      <c r="G45" s="23"/>
    </row>
    <row r="46" spans="2:7" ht="15">
      <c r="B46" t="s">
        <v>6</v>
      </c>
      <c r="C46" s="22">
        <f>C5</f>
        <v>3</v>
      </c>
      <c r="D46" t="s">
        <v>7</v>
      </c>
      <c r="E46" s="24">
        <f>C6</f>
        <v>4</v>
      </c>
      <c r="F46" s="2" t="s">
        <v>12</v>
      </c>
      <c r="G46" s="23">
        <f>C11</f>
        <v>9</v>
      </c>
    </row>
    <row r="47" spans="3:7" ht="15">
      <c r="C47" s="22"/>
      <c r="E47" s="24"/>
      <c r="F47" s="2"/>
      <c r="G47" s="23"/>
    </row>
    <row r="48" spans="2:7" ht="15">
      <c r="B48" t="s">
        <v>36</v>
      </c>
      <c r="C48" s="22">
        <f>C28</f>
        <v>4</v>
      </c>
      <c r="D48" t="s">
        <v>37</v>
      </c>
      <c r="E48" s="25">
        <f>F40/1000000</f>
        <v>1306.1615795270272</v>
      </c>
      <c r="F48" s="2" t="s">
        <v>26</v>
      </c>
      <c r="G48" s="22">
        <f>C33</f>
        <v>0</v>
      </c>
    </row>
    <row r="49" ht="15">
      <c r="F49" s="2"/>
    </row>
    <row r="50" spans="2:6" ht="30">
      <c r="B50" s="6" t="s">
        <v>38</v>
      </c>
      <c r="F50" s="2"/>
    </row>
    <row r="51" spans="2:7" ht="15">
      <c r="B51" s="17" t="s">
        <v>39</v>
      </c>
      <c r="C51" s="17"/>
      <c r="D51" s="26" t="s">
        <v>108</v>
      </c>
      <c r="E51" s="26" t="s">
        <v>41</v>
      </c>
      <c r="F51" s="26" t="s">
        <v>42</v>
      </c>
      <c r="G51" s="27" t="s">
        <v>43</v>
      </c>
    </row>
    <row r="52" spans="2:7" ht="15">
      <c r="B52" s="17" t="s">
        <v>44</v>
      </c>
      <c r="C52" s="26"/>
      <c r="D52" s="26"/>
      <c r="E52" s="26"/>
      <c r="F52" s="26"/>
      <c r="G52" s="28"/>
    </row>
    <row r="53" spans="2:7" ht="15">
      <c r="B53" s="29" t="s">
        <v>45</v>
      </c>
      <c r="C53" s="26" t="s">
        <v>46</v>
      </c>
      <c r="D53" s="26"/>
      <c r="E53" s="26"/>
      <c r="F53" s="26"/>
      <c r="G53" s="27"/>
    </row>
    <row r="54" spans="2:7" ht="15">
      <c r="B54" s="29">
        <f aca="true" t="shared" si="2" ref="B54:C56">C14</f>
        <v>2400</v>
      </c>
      <c r="C54" s="26">
        <f t="shared" si="2"/>
        <v>8</v>
      </c>
      <c r="D54" s="30">
        <f>C14^0.5/2.7</f>
        <v>18.144368465060577</v>
      </c>
      <c r="E54" s="30">
        <f>D54*0.73</f>
        <v>13.245388979494221</v>
      </c>
      <c r="F54" s="30">
        <f>E54*0.56</f>
        <v>7.417417828516765</v>
      </c>
      <c r="G54" s="28">
        <f>F54*0.44</f>
        <v>3.2636638445473767</v>
      </c>
    </row>
    <row r="55" spans="2:7" ht="15">
      <c r="B55" s="29">
        <f t="shared" si="2"/>
        <v>600</v>
      </c>
      <c r="C55" s="26">
        <f t="shared" si="2"/>
        <v>12</v>
      </c>
      <c r="D55" s="30">
        <f>C15^0.5/2.7</f>
        <v>9.072184232530288</v>
      </c>
      <c r="E55" s="30">
        <f>D55*0.73</f>
        <v>6.6226944897471105</v>
      </c>
      <c r="F55" s="30">
        <f>E55*0.56</f>
        <v>3.7087089142583824</v>
      </c>
      <c r="G55" s="28">
        <f>F55*0.44</f>
        <v>1.6318319222736883</v>
      </c>
    </row>
    <row r="56" spans="2:7" ht="15">
      <c r="B56" s="29">
        <f t="shared" si="2"/>
        <v>0</v>
      </c>
      <c r="C56" s="26">
        <f t="shared" si="2"/>
        <v>0</v>
      </c>
      <c r="D56" s="30">
        <f>C16^0.5/2.7</f>
        <v>0</v>
      </c>
      <c r="E56" s="30">
        <f>D56*0.73</f>
        <v>0</v>
      </c>
      <c r="F56" s="30">
        <f>E56*0.56</f>
        <v>0</v>
      </c>
      <c r="G56" s="28">
        <f>F56*0.44</f>
        <v>0</v>
      </c>
    </row>
    <row r="57" spans="2:7" ht="15">
      <c r="B57" s="17" t="s">
        <v>109</v>
      </c>
      <c r="C57" s="26"/>
      <c r="D57" s="30">
        <v>8</v>
      </c>
      <c r="E57" s="30">
        <v>4</v>
      </c>
      <c r="F57" s="30">
        <v>2</v>
      </c>
      <c r="G57" s="28">
        <v>1</v>
      </c>
    </row>
    <row r="58" spans="2:7" ht="15">
      <c r="B58" s="29" t="s">
        <v>45</v>
      </c>
      <c r="C58" s="26" t="s">
        <v>46</v>
      </c>
      <c r="D58" s="30"/>
      <c r="E58" s="30"/>
      <c r="F58" s="30"/>
      <c r="G58" s="28"/>
    </row>
    <row r="59" spans="2:7" ht="15">
      <c r="B59" s="29">
        <f aca="true" t="shared" si="3" ref="B59:C61">C17</f>
        <v>0</v>
      </c>
      <c r="C59" s="26">
        <f t="shared" si="3"/>
        <v>0</v>
      </c>
      <c r="D59" s="30">
        <f>C17^0.5/5</f>
        <v>0</v>
      </c>
      <c r="E59" s="30">
        <f>D59*0.66</f>
        <v>0</v>
      </c>
      <c r="F59" s="30">
        <f>E59*0.47</f>
        <v>0</v>
      </c>
      <c r="G59" s="28">
        <f>F59*0.35</f>
        <v>0</v>
      </c>
    </row>
    <row r="60" spans="2:7" ht="15">
      <c r="B60" s="29">
        <f t="shared" si="3"/>
        <v>0</v>
      </c>
      <c r="C60" s="26">
        <f t="shared" si="3"/>
        <v>0</v>
      </c>
      <c r="D60" s="30">
        <f>C18^0.5/5</f>
        <v>0</v>
      </c>
      <c r="E60" s="30">
        <f>D60*0.66</f>
        <v>0</v>
      </c>
      <c r="F60" s="30">
        <f>E60*0.47</f>
        <v>0</v>
      </c>
      <c r="G60" s="28">
        <f>F60*0.35</f>
        <v>0</v>
      </c>
    </row>
    <row r="61" spans="2:7" ht="15">
      <c r="B61" s="29">
        <f t="shared" si="3"/>
        <v>0</v>
      </c>
      <c r="C61" s="26">
        <f t="shared" si="3"/>
        <v>0</v>
      </c>
      <c r="D61" s="30">
        <f>C19^0.5/5</f>
        <v>0</v>
      </c>
      <c r="E61" s="30">
        <f>D61*0.66</f>
        <v>0</v>
      </c>
      <c r="F61" s="30">
        <f>E61*0.47</f>
        <v>0</v>
      </c>
      <c r="G61" s="28">
        <f>F61*0.35</f>
        <v>0</v>
      </c>
    </row>
    <row r="62" ht="15">
      <c r="F62" s="2"/>
    </row>
    <row r="63" spans="2:6" ht="30">
      <c r="B63" s="6" t="s">
        <v>47</v>
      </c>
      <c r="F63" s="2"/>
    </row>
    <row r="64" spans="2:6" ht="15">
      <c r="B64" s="17" t="s">
        <v>39</v>
      </c>
      <c r="C64" s="26" t="s">
        <v>108</v>
      </c>
      <c r="D64" s="26" t="s">
        <v>41</v>
      </c>
      <c r="E64" s="31" t="s">
        <v>48</v>
      </c>
      <c r="F64" s="2"/>
    </row>
    <row r="65" spans="2:6" ht="15">
      <c r="B65" s="17" t="s">
        <v>91</v>
      </c>
      <c r="C65" s="26">
        <f>C20*2</f>
        <v>8</v>
      </c>
      <c r="D65" s="26">
        <f>C65/2</f>
        <v>4</v>
      </c>
      <c r="E65" s="26">
        <f>D20</f>
        <v>6</v>
      </c>
      <c r="F65" s="2"/>
    </row>
    <row r="66" spans="2:6" ht="15">
      <c r="B66" s="17" t="s">
        <v>92</v>
      </c>
      <c r="C66" s="26">
        <f>C21*6</f>
        <v>12</v>
      </c>
      <c r="D66" s="26"/>
      <c r="E66" s="26">
        <f>D21</f>
        <v>8</v>
      </c>
      <c r="F66" s="2"/>
    </row>
    <row r="67" ht="15">
      <c r="F67" s="2"/>
    </row>
    <row r="68" spans="2:6" ht="15">
      <c r="B68" s="32" t="s">
        <v>51</v>
      </c>
      <c r="C68" s="26" t="s">
        <v>108</v>
      </c>
      <c r="D68" s="26" t="s">
        <v>41</v>
      </c>
      <c r="E68" s="26" t="s">
        <v>42</v>
      </c>
      <c r="F68" s="27" t="s">
        <v>43</v>
      </c>
    </row>
    <row r="69" spans="2:6" ht="15">
      <c r="B69" s="32"/>
      <c r="C69" s="20">
        <f>$E$42</f>
        <v>16.693486957499324</v>
      </c>
      <c r="D69" s="20">
        <f>$E$42*0.75</f>
        <v>12.520115218124493</v>
      </c>
      <c r="E69" s="20">
        <f>$E$42*0.5</f>
        <v>8.346743478749662</v>
      </c>
      <c r="F69" s="20">
        <f>$E$42*0.25</f>
        <v>4.173371739374831</v>
      </c>
    </row>
    <row r="70" ht="15">
      <c r="F70" s="2"/>
    </row>
    <row r="72" spans="2:6" ht="15">
      <c r="B72" t="s">
        <v>49</v>
      </c>
      <c r="F72" s="2"/>
    </row>
    <row r="73" spans="2:6" ht="15">
      <c r="B73" s="17" t="s">
        <v>68</v>
      </c>
      <c r="C73" s="17" t="s">
        <v>46</v>
      </c>
      <c r="F73" s="2"/>
    </row>
    <row r="74" spans="2:6" ht="15">
      <c r="B74" s="17">
        <f aca="true" t="shared" si="4" ref="B74:C76">C22</f>
        <v>8</v>
      </c>
      <c r="C74" s="17">
        <f t="shared" si="4"/>
        <v>20</v>
      </c>
      <c r="F74" s="2"/>
    </row>
    <row r="75" spans="2:6" ht="15">
      <c r="B75" s="17">
        <f t="shared" si="4"/>
        <v>0</v>
      </c>
      <c r="C75" s="17">
        <f t="shared" si="4"/>
        <v>0</v>
      </c>
      <c r="F75" s="2"/>
    </row>
    <row r="76" spans="2:6" ht="15">
      <c r="B76" s="17">
        <f t="shared" si="4"/>
        <v>0</v>
      </c>
      <c r="C76" s="17">
        <f t="shared" si="4"/>
        <v>0</v>
      </c>
      <c r="F76" s="2"/>
    </row>
    <row r="78" ht="15">
      <c r="B78" t="s">
        <v>79</v>
      </c>
    </row>
    <row r="79" spans="2:7" s="6" customFormat="1" ht="15">
      <c r="B79" s="7" t="s">
        <v>1</v>
      </c>
      <c r="C79" s="7" t="s">
        <v>56</v>
      </c>
      <c r="D79" s="7" t="s">
        <v>57</v>
      </c>
      <c r="E79" s="8" t="s">
        <v>3</v>
      </c>
      <c r="F79" s="7" t="s">
        <v>4</v>
      </c>
      <c r="G79" s="7"/>
    </row>
    <row r="80" spans="1:7" ht="15">
      <c r="A80" s="4"/>
      <c r="B80" s="7" t="s">
        <v>5</v>
      </c>
      <c r="C80" s="7"/>
      <c r="D80" s="41">
        <v>8</v>
      </c>
      <c r="E80" s="50">
        <f>D80*10000</f>
        <v>80000</v>
      </c>
      <c r="F80" s="7"/>
      <c r="G80" s="42"/>
    </row>
    <row r="81" spans="1:7" ht="15">
      <c r="A81" s="4"/>
      <c r="B81" s="7" t="s">
        <v>6</v>
      </c>
      <c r="C81" s="7">
        <v>6</v>
      </c>
      <c r="D81" s="48">
        <f>(((2*C81)+(C81-1))/100)*D80</f>
        <v>1.36</v>
      </c>
      <c r="E81" s="51">
        <f>(C81+2)*D81*20000</f>
        <v>217600.00000000003</v>
      </c>
      <c r="F81" s="7"/>
      <c r="G81" s="42"/>
    </row>
    <row r="82" spans="2:7" ht="15">
      <c r="B82" s="7" t="s">
        <v>8</v>
      </c>
      <c r="C82" s="7">
        <f>F85</f>
        <v>0.5</v>
      </c>
      <c r="D82" s="48">
        <f>C82</f>
        <v>0.5</v>
      </c>
      <c r="E82" s="50">
        <f>D82*300000</f>
        <v>150000</v>
      </c>
      <c r="F82" s="53">
        <f>C82</f>
        <v>0.5</v>
      </c>
      <c r="G82" s="42"/>
    </row>
    <row r="83" spans="2:7" ht="15">
      <c r="B83" s="14" t="s">
        <v>9</v>
      </c>
      <c r="C83" s="14"/>
      <c r="D83" s="49">
        <f>-(0.01*C82)+(D80*0.05*C81)</f>
        <v>2.3950000000000005</v>
      </c>
      <c r="E83" s="52">
        <v>0</v>
      </c>
      <c r="F83" s="17"/>
      <c r="G83" s="26"/>
    </row>
    <row r="84" spans="2:7" ht="15">
      <c r="B84" s="14" t="s">
        <v>12</v>
      </c>
      <c r="C84" s="14"/>
      <c r="D84" s="49">
        <f>IF(C84&gt;0,D80*(0.01+(0.01*C84)),0)</f>
        <v>0</v>
      </c>
      <c r="E84" s="52">
        <f>IF(C84&gt;0,-D84*(30000+(10000*C84)),0)</f>
        <v>0</v>
      </c>
      <c r="F84" s="17"/>
      <c r="G84" s="26"/>
    </row>
    <row r="85" spans="2:7" ht="15">
      <c r="B85" s="14" t="s">
        <v>58</v>
      </c>
      <c r="C85" s="14">
        <v>5</v>
      </c>
      <c r="D85" s="49">
        <f>D80*0.02*C85</f>
        <v>0.8</v>
      </c>
      <c r="E85" s="52">
        <f>D80*400*C85^3</f>
        <v>400000</v>
      </c>
      <c r="F85" s="54">
        <f>C85*0.1</f>
        <v>0.5</v>
      </c>
      <c r="G85" s="26"/>
    </row>
    <row r="86" spans="2:7" ht="15">
      <c r="B86" s="14" t="s">
        <v>59</v>
      </c>
      <c r="C86" s="20">
        <f>D86^0.5*4.8</f>
        <v>8.237281104830645</v>
      </c>
      <c r="D86" s="49">
        <f>D80-SUM(D81:D85)</f>
        <v>2.9449999999999994</v>
      </c>
      <c r="E86" s="52">
        <f>C86*100000</f>
        <v>823728.1104830644</v>
      </c>
      <c r="F86" s="17"/>
      <c r="G86" s="26"/>
    </row>
    <row r="87" spans="4:5" ht="15">
      <c r="D87" s="34"/>
      <c r="E87" s="2"/>
    </row>
    <row r="88" spans="4:5" ht="15">
      <c r="D88" s="34"/>
      <c r="E88" s="2"/>
    </row>
    <row r="89" spans="2:6" ht="15">
      <c r="B89" t="s">
        <v>31</v>
      </c>
      <c r="D89" s="34"/>
      <c r="E89" s="2">
        <f>SUM(E80:E88)</f>
        <v>1671328.1104830643</v>
      </c>
      <c r="F89" s="34">
        <f>F82-SUM(F83:F88)</f>
        <v>0</v>
      </c>
    </row>
    <row r="90" ht="15">
      <c r="E90" s="2"/>
    </row>
    <row r="91" spans="3:6" ht="15">
      <c r="C91" s="21"/>
      <c r="E91" t="s">
        <v>32</v>
      </c>
      <c r="F91" s="47">
        <f>(LOG(D80)-LOG(12.5)+LOG(2)*7)/LOG(2)</f>
        <v>6.356143810225275</v>
      </c>
    </row>
    <row r="92" spans="2:6" ht="15">
      <c r="B92" t="s">
        <v>6</v>
      </c>
      <c r="C92" s="21">
        <f>C81</f>
        <v>6</v>
      </c>
      <c r="F92" s="2"/>
    </row>
    <row r="93" spans="5:6" ht="15">
      <c r="E93" t="s">
        <v>60</v>
      </c>
      <c r="F93" s="2">
        <f>((D80^(1/3))+C84)/3</f>
        <v>0.6666666666666666</v>
      </c>
    </row>
    <row r="94" spans="3:6" ht="15">
      <c r="C94" s="21"/>
      <c r="F94" s="2"/>
    </row>
    <row r="95" spans="2:6" ht="15">
      <c r="B95" t="s">
        <v>3</v>
      </c>
      <c r="C95" s="2">
        <f>E89/1000000</f>
        <v>1.6713281104830644</v>
      </c>
      <c r="E95" t="s">
        <v>58</v>
      </c>
      <c r="F95" s="2">
        <f>C85</f>
        <v>5</v>
      </c>
    </row>
    <row r="96" ht="15">
      <c r="E96" s="2"/>
    </row>
    <row r="97" spans="2:8" ht="15">
      <c r="B97" s="4" t="s">
        <v>80</v>
      </c>
      <c r="C97" s="35"/>
      <c r="D97" s="4"/>
      <c r="E97" s="4"/>
      <c r="F97" s="5"/>
      <c r="G97" s="4"/>
      <c r="H97" s="4"/>
    </row>
    <row r="98" spans="2:8" ht="15">
      <c r="B98" s="17" t="s">
        <v>61</v>
      </c>
      <c r="C98" s="20">
        <f>C81</f>
        <v>6</v>
      </c>
      <c r="D98" s="17">
        <f>C81-1</f>
        <v>5</v>
      </c>
      <c r="E98" s="20">
        <f>C98-2</f>
        <v>4</v>
      </c>
      <c r="F98" s="43">
        <f>C98-3</f>
        <v>3</v>
      </c>
      <c r="G98" s="20">
        <f>C98-4</f>
        <v>2</v>
      </c>
      <c r="H98" s="20">
        <f>C98-5</f>
        <v>1</v>
      </c>
    </row>
    <row r="99" spans="2:8" ht="15">
      <c r="B99" s="17" t="s">
        <v>62</v>
      </c>
      <c r="C99" s="20">
        <f>C86</f>
        <v>8.237281104830645</v>
      </c>
      <c r="D99" s="20">
        <f>((($C98-D98)*($D80*0.05))+$D86)^0.5*4.8</f>
        <v>8.778883755922502</v>
      </c>
      <c r="E99" s="20">
        <f>((($C98-E98)*($D80*0.05))+$D86)^0.5*4.8</f>
        <v>9.28896119057454</v>
      </c>
      <c r="F99" s="20">
        <f>((($C98-F98)*($D80*0.05))+$D86)^0.5*4.8</f>
        <v>9.77245107432112</v>
      </c>
      <c r="G99" s="20">
        <f>((($C98-G98)*($D80*0.05))+$D86)^0.5*4.8</f>
        <v>10.233122690557364</v>
      </c>
      <c r="H99" s="20">
        <f>((($C98-H98)*($D80*0.05))+$D86)^0.5*4.8</f>
        <v>10.6739308598098</v>
      </c>
    </row>
    <row r="102" spans="4:7" ht="15">
      <c r="D102" t="s">
        <v>85</v>
      </c>
      <c r="E102" t="s">
        <v>86</v>
      </c>
      <c r="F102" t="s">
        <v>87</v>
      </c>
      <c r="G102" t="s">
        <v>88</v>
      </c>
    </row>
    <row r="103" spans="2:7" ht="15">
      <c r="B103" t="s">
        <v>6</v>
      </c>
      <c r="C103" s="21">
        <f>E5</f>
        <v>690</v>
      </c>
      <c r="D103">
        <v>2</v>
      </c>
      <c r="E103" s="21">
        <f aca="true" t="shared" si="5" ref="E103:E109">C103*D103</f>
        <v>1380</v>
      </c>
      <c r="F103" s="33">
        <f aca="true" t="shared" si="6" ref="F103:F109">E103/E$111</f>
        <v>0.16215549301732596</v>
      </c>
      <c r="G103" s="21">
        <f aca="true" t="shared" si="7" ref="G103:G109">F103*100/5</f>
        <v>3.2431098603465194</v>
      </c>
    </row>
    <row r="104" spans="2:7" ht="15">
      <c r="B104" t="s">
        <v>82</v>
      </c>
      <c r="C104" s="21">
        <f>E6</f>
        <v>431.25</v>
      </c>
      <c r="D104">
        <v>1</v>
      </c>
      <c r="E104" s="21">
        <f t="shared" si="5"/>
        <v>431.25</v>
      </c>
      <c r="F104" s="33">
        <f t="shared" si="6"/>
        <v>0.05067359156791436</v>
      </c>
      <c r="G104" s="21">
        <f t="shared" si="7"/>
        <v>1.0134718313582871</v>
      </c>
    </row>
    <row r="105" spans="2:7" ht="15">
      <c r="B105" t="s">
        <v>8</v>
      </c>
      <c r="C105" s="21">
        <f>E7</f>
        <v>1709.1000000000001</v>
      </c>
      <c r="D105">
        <v>1</v>
      </c>
      <c r="E105">
        <f t="shared" si="5"/>
        <v>1709.1000000000001</v>
      </c>
      <c r="F105" s="33">
        <f t="shared" si="6"/>
        <v>0.2008260529825448</v>
      </c>
      <c r="G105" s="21">
        <f t="shared" si="7"/>
        <v>4.016521059650897</v>
      </c>
    </row>
    <row r="106" spans="2:7" ht="15">
      <c r="B106" t="s">
        <v>83</v>
      </c>
      <c r="C106">
        <f>E13</f>
        <v>399</v>
      </c>
      <c r="D106">
        <v>2</v>
      </c>
      <c r="E106">
        <f t="shared" si="5"/>
        <v>798</v>
      </c>
      <c r="F106" s="33">
        <f t="shared" si="6"/>
        <v>0.09376817639697545</v>
      </c>
      <c r="G106" s="21">
        <f t="shared" si="7"/>
        <v>1.8753635279395091</v>
      </c>
    </row>
    <row r="107" spans="2:7" ht="15">
      <c r="B107" t="s">
        <v>84</v>
      </c>
      <c r="C107">
        <f>SUM(E14:E19)</f>
        <v>1320</v>
      </c>
      <c r="D107">
        <v>2</v>
      </c>
      <c r="E107">
        <f t="shared" si="5"/>
        <v>2640</v>
      </c>
      <c r="F107" s="33">
        <f t="shared" si="6"/>
        <v>0.3102105083809714</v>
      </c>
      <c r="G107" s="21">
        <f t="shared" si="7"/>
        <v>6.204210167619428</v>
      </c>
    </row>
    <row r="108" spans="2:7" ht="15">
      <c r="B108" t="s">
        <v>53</v>
      </c>
      <c r="C108">
        <f>SUM(E20:E21)</f>
        <v>144</v>
      </c>
      <c r="D108">
        <v>8</v>
      </c>
      <c r="E108">
        <f t="shared" si="5"/>
        <v>1152</v>
      </c>
      <c r="F108" s="33">
        <f t="shared" si="6"/>
        <v>0.13536458547533298</v>
      </c>
      <c r="G108" s="21">
        <f t="shared" si="7"/>
        <v>2.7072917095066598</v>
      </c>
    </row>
    <row r="109" spans="2:7" ht="15">
      <c r="B109" t="s">
        <v>54</v>
      </c>
      <c r="C109">
        <f>SUM(E22:E24)</f>
        <v>200</v>
      </c>
      <c r="D109">
        <v>2</v>
      </c>
      <c r="E109">
        <f t="shared" si="5"/>
        <v>400</v>
      </c>
      <c r="F109" s="33">
        <f t="shared" si="6"/>
        <v>0.047001592178935056</v>
      </c>
      <c r="G109" s="21">
        <f t="shared" si="7"/>
        <v>0.9400318435787011</v>
      </c>
    </row>
    <row r="111" spans="2:7" ht="15">
      <c r="B111" t="s">
        <v>55</v>
      </c>
      <c r="C111" s="21">
        <f>SUM(C103:C109)</f>
        <v>4893.35</v>
      </c>
      <c r="E111" s="21">
        <f>SUM(E103:E109)</f>
        <v>8510.35</v>
      </c>
      <c r="G111" s="21">
        <f>SUM(G103:G109)</f>
        <v>20</v>
      </c>
    </row>
    <row r="114" spans="2:8" ht="15">
      <c r="B114" t="s">
        <v>93</v>
      </c>
      <c r="E114" s="21">
        <f>IF(100/(E44^0.5)&gt;=1,ROUNDDOWN(100/(E44^0.5),0),0)</f>
        <v>0</v>
      </c>
      <c r="F114" t="s">
        <v>94</v>
      </c>
      <c r="H114" s="21">
        <f>IF(E114&gt;0,((100/(E44^0.5)-ROUNDDOWN(100/(E44^0.5),0))*20),0)</f>
        <v>0</v>
      </c>
    </row>
    <row r="116" spans="2:5" ht="15">
      <c r="B116" t="s">
        <v>97</v>
      </c>
      <c r="E116" s="21">
        <f>IF(100/(E44^0.5)&lt;1,(100/(E44^0.5))*20,0)</f>
        <v>19.658927487319616</v>
      </c>
    </row>
    <row r="118" spans="2:9" ht="15">
      <c r="B118" t="s">
        <v>95</v>
      </c>
      <c r="E118" s="21">
        <f>ROUNDDOWN(300/(E44^0.5),0)</f>
        <v>2</v>
      </c>
      <c r="F118" t="s">
        <v>96</v>
      </c>
      <c r="I118" s="21">
        <f>((300/(E44^0.5))-ROUNDDOWN(E118,0))*20</f>
        <v>18.976782461958848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B49" sqref="B49"/>
    </sheetView>
  </sheetViews>
  <sheetFormatPr defaultColWidth="9.140625" defaultRowHeight="15"/>
  <cols>
    <col min="2" max="2" width="22.28125" style="0" customWidth="1"/>
    <col min="3" max="4" width="18.28125" style="0" customWidth="1"/>
    <col min="5" max="7" width="18.421875" style="0" customWidth="1"/>
    <col min="8" max="8" width="17.57421875" style="0" customWidth="1"/>
  </cols>
  <sheetData>
    <row r="1" spans="2:6" ht="15">
      <c r="B1" s="1" t="s">
        <v>81</v>
      </c>
      <c r="F1" s="2"/>
    </row>
    <row r="2" spans="2:7" ht="15">
      <c r="B2" s="3"/>
      <c r="C2" s="3"/>
      <c r="D2" s="3"/>
      <c r="E2" s="4"/>
      <c r="F2" s="5"/>
      <c r="G2" s="4"/>
    </row>
    <row r="3" spans="2:7" s="6" customFormat="1" ht="150.75" customHeight="1">
      <c r="B3" s="7" t="s">
        <v>1</v>
      </c>
      <c r="C3" s="7" t="s">
        <v>70</v>
      </c>
      <c r="D3" s="7" t="s">
        <v>69</v>
      </c>
      <c r="E3" s="7" t="s">
        <v>2</v>
      </c>
      <c r="F3" s="8" t="s">
        <v>3</v>
      </c>
      <c r="G3" s="7" t="s">
        <v>4</v>
      </c>
    </row>
    <row r="4" spans="1:7" ht="15">
      <c r="A4" s="4"/>
      <c r="B4" s="7" t="s">
        <v>5</v>
      </c>
      <c r="C4" s="12"/>
      <c r="D4" s="12"/>
      <c r="E4" s="9">
        <v>5000</v>
      </c>
      <c r="F4" s="10">
        <f>E4*10000*0.3</f>
        <v>15000000</v>
      </c>
      <c r="G4" s="7"/>
    </row>
    <row r="5" spans="1:7" ht="15">
      <c r="A5" s="4"/>
      <c r="B5" s="7" t="s">
        <v>6</v>
      </c>
      <c r="C5" s="7">
        <v>1</v>
      </c>
      <c r="D5" s="12"/>
      <c r="E5" s="11">
        <f>IF(C5&lt;1,3*C5*E4/100,(((2*C5)+(C5-1))/120)*E4)</f>
        <v>83.33333333333333</v>
      </c>
      <c r="F5" s="10">
        <f>(C5+2)*E5*5000</f>
        <v>1250000</v>
      </c>
      <c r="G5" s="7"/>
    </row>
    <row r="6" spans="1:7" ht="15">
      <c r="A6" s="4"/>
      <c r="B6" s="7" t="s">
        <v>7</v>
      </c>
      <c r="C6" s="7">
        <v>2</v>
      </c>
      <c r="D6" s="12"/>
      <c r="E6" s="11">
        <f>IF(C6&gt;0,E4*(C6+1)/120,0)</f>
        <v>125</v>
      </c>
      <c r="F6" s="10">
        <f>E6*100000</f>
        <v>12500000</v>
      </c>
      <c r="G6" s="7"/>
    </row>
    <row r="7" spans="2:7" ht="15">
      <c r="B7" s="7" t="s">
        <v>8</v>
      </c>
      <c r="C7" s="12">
        <f>ROUNDUP(SUM(G13:G17)/10,0)*10</f>
        <v>20</v>
      </c>
      <c r="D7" s="12"/>
      <c r="E7" s="11">
        <f>C7*0.8</f>
        <v>16</v>
      </c>
      <c r="F7" s="10">
        <f>E7*75000</f>
        <v>1200000</v>
      </c>
      <c r="G7" s="13">
        <f>C7</f>
        <v>20</v>
      </c>
    </row>
    <row r="8" spans="2:7" ht="15">
      <c r="B8" s="14" t="s">
        <v>9</v>
      </c>
      <c r="C8" s="12"/>
      <c r="D8" s="12"/>
      <c r="E8" s="19">
        <f>((E4*0.05*C6)+(E4*0.05*C5)+(0.01*C7))</f>
        <v>750.2</v>
      </c>
      <c r="F8" s="16">
        <v>0</v>
      </c>
      <c r="G8" s="17"/>
    </row>
    <row r="9" spans="2:7" ht="15">
      <c r="B9" s="14" t="s">
        <v>10</v>
      </c>
      <c r="C9" s="12"/>
      <c r="D9" s="12"/>
      <c r="E9" s="15">
        <v>0</v>
      </c>
      <c r="F9" s="16">
        <f>E4*100</f>
        <v>500000</v>
      </c>
      <c r="G9" s="17"/>
    </row>
    <row r="10" spans="2:7" ht="15">
      <c r="B10" s="14" t="s">
        <v>11</v>
      </c>
      <c r="C10" s="12"/>
      <c r="D10" s="12"/>
      <c r="E10" s="19">
        <f>20*E8/1000</f>
        <v>15.004</v>
      </c>
      <c r="F10" s="16">
        <f>14000*E8/1000</f>
        <v>10502.8</v>
      </c>
      <c r="G10" s="17"/>
    </row>
    <row r="11" spans="2:7" ht="15">
      <c r="B11" s="14" t="s">
        <v>12</v>
      </c>
      <c r="C11" s="14"/>
      <c r="D11" s="12"/>
      <c r="E11" s="19">
        <f>IF(C11&gt;0,E4*(0.01+(0.005*C11)),0)</f>
        <v>0</v>
      </c>
      <c r="F11" s="16">
        <f>IF(C11&gt;0,E11*(30000+(5000*C11)),0)</f>
        <v>0</v>
      </c>
      <c r="G11" s="17"/>
    </row>
    <row r="12" spans="2:7" ht="15">
      <c r="B12" s="14" t="s">
        <v>13</v>
      </c>
      <c r="C12" s="12"/>
      <c r="D12" s="12"/>
      <c r="E12" s="19">
        <f>(E5+E6+E7+SUM(E14:E17))*0.025</f>
        <v>5.808333333333334</v>
      </c>
      <c r="F12" s="16">
        <f>E4*125</f>
        <v>625000</v>
      </c>
      <c r="G12" s="17"/>
    </row>
    <row r="13" spans="2:7" ht="15">
      <c r="B13" s="14" t="s">
        <v>14</v>
      </c>
      <c r="C13" s="14">
        <v>2</v>
      </c>
      <c r="D13" s="14"/>
      <c r="E13" s="15">
        <f>C13^2+C13^3+C13</f>
        <v>14</v>
      </c>
      <c r="F13" s="16">
        <f>100000*C13^3</f>
        <v>800000</v>
      </c>
      <c r="G13" s="17">
        <f>E13/2</f>
        <v>7</v>
      </c>
    </row>
    <row r="14" spans="2:7" ht="15">
      <c r="B14" s="17" t="s">
        <v>15</v>
      </c>
      <c r="C14" s="14"/>
      <c r="D14" s="14"/>
      <c r="E14" s="15">
        <f>C14*D14/20</f>
        <v>0</v>
      </c>
      <c r="F14" s="16">
        <f>E14*200000</f>
        <v>0</v>
      </c>
      <c r="G14" s="17">
        <f>E14</f>
        <v>0</v>
      </c>
    </row>
    <row r="15" spans="2:7" ht="15">
      <c r="B15" s="17" t="s">
        <v>98</v>
      </c>
      <c r="C15" s="14">
        <v>2</v>
      </c>
      <c r="D15" s="14">
        <v>2</v>
      </c>
      <c r="E15" s="15">
        <f>C15*D15*2</f>
        <v>8</v>
      </c>
      <c r="F15" s="16">
        <f>E15*100000</f>
        <v>800000</v>
      </c>
      <c r="G15" s="17">
        <f>E15</f>
        <v>8</v>
      </c>
    </row>
    <row r="16" spans="2:7" ht="15">
      <c r="B16" s="17" t="s">
        <v>90</v>
      </c>
      <c r="C16" s="14"/>
      <c r="D16" s="14"/>
      <c r="E16" s="15">
        <f>C16*D16*6</f>
        <v>0</v>
      </c>
      <c r="F16" s="16">
        <f>E16*100000</f>
        <v>0</v>
      </c>
      <c r="G16" s="17">
        <f>C16*D16*8</f>
        <v>0</v>
      </c>
    </row>
    <row r="17" spans="2:7" ht="15">
      <c r="B17" s="18" t="s">
        <v>71</v>
      </c>
      <c r="C17" s="14"/>
      <c r="D17" s="14"/>
      <c r="E17" s="15">
        <f>C17*D17*1.25</f>
        <v>0</v>
      </c>
      <c r="F17" s="16">
        <f>E17*15000</f>
        <v>0</v>
      </c>
      <c r="G17" s="17"/>
    </row>
    <row r="18" spans="2:7" ht="15">
      <c r="B18" s="14" t="s">
        <v>22</v>
      </c>
      <c r="C18" s="19">
        <f>IF(E4&lt;20000,10,E4/2000)</f>
        <v>10</v>
      </c>
      <c r="D18" s="20"/>
      <c r="E18" s="15"/>
      <c r="F18" s="16"/>
      <c r="G18" s="17"/>
    </row>
    <row r="19" spans="2:7" ht="15">
      <c r="B19" s="14" t="s">
        <v>23</v>
      </c>
      <c r="C19" s="19">
        <f>(E5+E6+E7)/100</f>
        <v>2.243333333333333</v>
      </c>
      <c r="D19" s="20"/>
      <c r="E19" s="15"/>
      <c r="F19" s="16"/>
      <c r="G19" s="17"/>
    </row>
    <row r="20" spans="2:7" ht="15">
      <c r="B20" s="14" t="s">
        <v>24</v>
      </c>
      <c r="C20" s="19">
        <f>SUM(E14:E14)/100+SUM(D15:D16)+SUM(E17:E17)/20</f>
        <v>2</v>
      </c>
      <c r="D20" s="20"/>
      <c r="E20" s="15"/>
      <c r="F20" s="16"/>
      <c r="G20" s="17"/>
    </row>
    <row r="21" spans="2:7" ht="15">
      <c r="B21" s="14" t="s">
        <v>25</v>
      </c>
      <c r="C21" s="19"/>
      <c r="D21" s="20"/>
      <c r="E21" s="15"/>
      <c r="F21" s="16"/>
      <c r="G21" s="17"/>
    </row>
    <row r="22" spans="2:7" ht="15">
      <c r="B22" s="14" t="s">
        <v>26</v>
      </c>
      <c r="C22" s="19"/>
      <c r="D22" s="20"/>
      <c r="E22" s="15"/>
      <c r="F22" s="16"/>
      <c r="G22" s="17"/>
    </row>
    <row r="23" spans="2:7" ht="15">
      <c r="B23" s="14" t="s">
        <v>27</v>
      </c>
      <c r="C23" s="19">
        <f>IF(C22=0,E4/333,E4/500)</f>
        <v>15.015015015015015</v>
      </c>
      <c r="D23" s="20"/>
      <c r="E23" s="15"/>
      <c r="F23" s="16"/>
      <c r="G23" s="17"/>
    </row>
    <row r="24" spans="2:7" ht="15">
      <c r="B24" s="14" t="s">
        <v>28</v>
      </c>
      <c r="C24" s="20">
        <v>20</v>
      </c>
      <c r="D24" s="20"/>
      <c r="E24" s="15"/>
      <c r="F24" s="16"/>
      <c r="G24" s="17"/>
    </row>
    <row r="25" spans="2:7" ht="15">
      <c r="B25" s="14" t="s">
        <v>29</v>
      </c>
      <c r="C25" s="17"/>
      <c r="D25" s="17"/>
      <c r="E25" s="19">
        <f>((C18+C19+C20+C21+C22+C23+C24)*2)+10</f>
        <v>108.5166966966967</v>
      </c>
      <c r="F25" s="16">
        <f>E25*12500</f>
        <v>1356458.7087087086</v>
      </c>
      <c r="G25" s="17"/>
    </row>
    <row r="26" spans="2:7" ht="15">
      <c r="B26" s="14" t="s">
        <v>30</v>
      </c>
      <c r="C26" s="17">
        <v>3800</v>
      </c>
      <c r="D26" s="17"/>
      <c r="E26" s="19">
        <f>IF(C26&gt;0,C26,E4*0.025)</f>
        <v>3800</v>
      </c>
      <c r="F26" s="16">
        <f>E26*2500</f>
        <v>9500000</v>
      </c>
      <c r="G26" s="17"/>
    </row>
    <row r="27" ht="15">
      <c r="F27" s="2"/>
    </row>
    <row r="28" ht="15">
      <c r="F28" s="2"/>
    </row>
    <row r="29" spans="2:7" ht="15">
      <c r="B29" t="s">
        <v>31</v>
      </c>
      <c r="E29" s="21">
        <f>E4-SUM(E5:E28)</f>
        <v>74.13763663663667</v>
      </c>
      <c r="F29" s="2">
        <f>SUM(F4:F28)</f>
        <v>43541961.50870871</v>
      </c>
      <c r="G29">
        <f>G7-SUM(G8:G28)</f>
        <v>5</v>
      </c>
    </row>
    <row r="30" ht="15">
      <c r="F30" s="2"/>
    </row>
    <row r="31" spans="2:7" ht="15">
      <c r="B31" t="s">
        <v>78</v>
      </c>
      <c r="C31" s="22">
        <f>E4^(1/3)/5</f>
        <v>3.4199518933533946</v>
      </c>
      <c r="D31" s="23" t="s">
        <v>32</v>
      </c>
      <c r="E31" s="22">
        <f>(LOG(E4)-LOG(12.5)+LOG(2)*7)/LOG(2)</f>
        <v>15.643856189774727</v>
      </c>
      <c r="F31" s="2" t="s">
        <v>33</v>
      </c>
      <c r="G31" s="23">
        <f>C13</f>
        <v>2</v>
      </c>
    </row>
    <row r="32" ht="15">
      <c r="F32" s="2"/>
    </row>
    <row r="33" spans="2:7" ht="15">
      <c r="B33" t="s">
        <v>34</v>
      </c>
      <c r="C33" s="22">
        <f>SUM(C18:C23)</f>
        <v>29.25834834834835</v>
      </c>
      <c r="D33" t="s">
        <v>2</v>
      </c>
      <c r="E33" s="24">
        <f>E4</f>
        <v>5000</v>
      </c>
      <c r="F33" s="2" t="s">
        <v>35</v>
      </c>
      <c r="G33" s="23">
        <f>C7</f>
        <v>20</v>
      </c>
    </row>
    <row r="34" spans="3:7" ht="15">
      <c r="C34" s="22"/>
      <c r="E34" s="24"/>
      <c r="F34" s="2"/>
      <c r="G34" s="23"/>
    </row>
    <row r="35" spans="2:7" ht="15">
      <c r="B35" t="s">
        <v>6</v>
      </c>
      <c r="C35" s="22">
        <f>C5</f>
        <v>1</v>
      </c>
      <c r="D35" t="s">
        <v>7</v>
      </c>
      <c r="E35" s="24">
        <f>C6</f>
        <v>2</v>
      </c>
      <c r="F35" s="2" t="s">
        <v>12</v>
      </c>
      <c r="G35" s="23">
        <f>C11</f>
        <v>0</v>
      </c>
    </row>
    <row r="36" spans="3:7" ht="15">
      <c r="C36" s="22"/>
      <c r="E36" s="24"/>
      <c r="F36" s="2"/>
      <c r="G36" s="23"/>
    </row>
    <row r="37" spans="3:7" ht="15">
      <c r="C37" s="22"/>
      <c r="D37" t="s">
        <v>37</v>
      </c>
      <c r="E37" s="25">
        <f>F29</f>
        <v>43541961.50870871</v>
      </c>
      <c r="F37" s="2" t="s">
        <v>26</v>
      </c>
      <c r="G37" s="22">
        <f>C22</f>
        <v>0</v>
      </c>
    </row>
    <row r="38" ht="15">
      <c r="F38" s="2"/>
    </row>
    <row r="39" spans="2:6" ht="30">
      <c r="B39" s="6" t="s">
        <v>38</v>
      </c>
      <c r="F39" s="2"/>
    </row>
    <row r="40" spans="2:7" ht="15">
      <c r="B40" s="17" t="s">
        <v>39</v>
      </c>
      <c r="C40" s="17"/>
      <c r="D40" s="26" t="s">
        <v>108</v>
      </c>
      <c r="E40" s="26" t="s">
        <v>41</v>
      </c>
      <c r="F40" s="26" t="s">
        <v>42</v>
      </c>
      <c r="G40" s="27" t="s">
        <v>43</v>
      </c>
    </row>
    <row r="41" spans="2:7" ht="15">
      <c r="B41" s="17" t="s">
        <v>44</v>
      </c>
      <c r="C41" s="26"/>
      <c r="D41" s="26"/>
      <c r="E41" s="26"/>
      <c r="F41" s="26"/>
      <c r="G41" s="28"/>
    </row>
    <row r="42" spans="2:7" ht="15">
      <c r="B42" s="29" t="s">
        <v>45</v>
      </c>
      <c r="C42" s="26" t="s">
        <v>46</v>
      </c>
      <c r="D42" s="26"/>
      <c r="E42" s="26"/>
      <c r="F42" s="26"/>
      <c r="G42" s="27"/>
    </row>
    <row r="43" spans="2:7" ht="15">
      <c r="B43" s="29">
        <f>C14</f>
        <v>0</v>
      </c>
      <c r="C43" s="26">
        <f>D14</f>
        <v>0</v>
      </c>
      <c r="D43" s="30">
        <f>C14^0.5/2.7</f>
        <v>0</v>
      </c>
      <c r="E43" s="30">
        <f>D43*0.73</f>
        <v>0</v>
      </c>
      <c r="F43" s="30">
        <f>E43*0.56</f>
        <v>0</v>
      </c>
      <c r="G43" s="28">
        <f>F43*0.44</f>
        <v>0</v>
      </c>
    </row>
    <row r="44" ht="15">
      <c r="F44" s="2"/>
    </row>
    <row r="45" spans="2:6" ht="30">
      <c r="B45" s="6" t="s">
        <v>47</v>
      </c>
      <c r="F45" s="2"/>
    </row>
    <row r="46" spans="2:6" ht="15">
      <c r="B46" s="17" t="s">
        <v>39</v>
      </c>
      <c r="C46" s="26" t="s">
        <v>108</v>
      </c>
      <c r="D46" s="26" t="s">
        <v>41</v>
      </c>
      <c r="E46" s="31" t="s">
        <v>48</v>
      </c>
      <c r="F46" s="2"/>
    </row>
    <row r="47" spans="2:6" ht="15">
      <c r="B47" s="17" t="s">
        <v>106</v>
      </c>
      <c r="C47" s="26">
        <f>C15*2</f>
        <v>4</v>
      </c>
      <c r="D47" s="26">
        <f>C47/2</f>
        <v>2</v>
      </c>
      <c r="E47" s="26">
        <f>D15</f>
        <v>2</v>
      </c>
      <c r="F47" s="2"/>
    </row>
    <row r="48" spans="2:6" ht="15">
      <c r="B48" s="17" t="s">
        <v>107</v>
      </c>
      <c r="C48" s="26">
        <f>C16*6</f>
        <v>0</v>
      </c>
      <c r="D48" s="26"/>
      <c r="E48" s="26">
        <f>D16</f>
        <v>0</v>
      </c>
      <c r="F48" s="2"/>
    </row>
    <row r="49" ht="15">
      <c r="F49" s="2"/>
    </row>
    <row r="50" spans="2:6" ht="15">
      <c r="B50" s="32" t="s">
        <v>51</v>
      </c>
      <c r="C50" s="26" t="s">
        <v>108</v>
      </c>
      <c r="D50" s="26" t="s">
        <v>41</v>
      </c>
      <c r="E50" s="26" t="s">
        <v>42</v>
      </c>
      <c r="F50" s="27" t="s">
        <v>43</v>
      </c>
    </row>
    <row r="51" spans="2:6" ht="15">
      <c r="B51" s="32" t="s">
        <v>52</v>
      </c>
      <c r="C51" s="20">
        <f>$E$31</f>
        <v>15.643856189774727</v>
      </c>
      <c r="D51" s="20">
        <f>$E$31*0.75</f>
        <v>11.732892142331046</v>
      </c>
      <c r="E51" s="20">
        <f>$E$31*0.5</f>
        <v>7.8219280948873635</v>
      </c>
      <c r="F51" s="20">
        <f>$E$31*0.25</f>
        <v>3.9109640474436818</v>
      </c>
    </row>
    <row r="52" ht="15">
      <c r="F52" s="2"/>
    </row>
    <row r="54" spans="2:6" ht="15">
      <c r="B54" t="s">
        <v>49</v>
      </c>
      <c r="F54" s="2"/>
    </row>
    <row r="55" spans="2:6" ht="15">
      <c r="B55" s="17" t="s">
        <v>68</v>
      </c>
      <c r="C55" s="17" t="s">
        <v>46</v>
      </c>
      <c r="F55" s="2"/>
    </row>
    <row r="56" spans="2:6" ht="15">
      <c r="B56" s="17">
        <f>C17</f>
        <v>0</v>
      </c>
      <c r="C56" s="17">
        <f>D17</f>
        <v>0</v>
      </c>
      <c r="F56" s="2"/>
    </row>
    <row r="58" ht="15">
      <c r="B58" t="s">
        <v>79</v>
      </c>
    </row>
    <row r="59" spans="2:7" s="6" customFormat="1" ht="15">
      <c r="B59" s="7" t="s">
        <v>1</v>
      </c>
      <c r="C59" s="7" t="s">
        <v>56</v>
      </c>
      <c r="D59" s="7" t="s">
        <v>57</v>
      </c>
      <c r="E59" s="8" t="s">
        <v>3</v>
      </c>
      <c r="F59" s="7" t="s">
        <v>4</v>
      </c>
      <c r="G59" s="7"/>
    </row>
    <row r="60" spans="1:7" ht="15">
      <c r="A60" s="4"/>
      <c r="B60" s="7" t="s">
        <v>5</v>
      </c>
      <c r="C60" s="7"/>
      <c r="D60" s="41">
        <v>8</v>
      </c>
      <c r="E60" s="50">
        <f>D60*10000</f>
        <v>80000</v>
      </c>
      <c r="F60" s="7"/>
      <c r="G60" s="42"/>
    </row>
    <row r="61" spans="1:7" ht="15">
      <c r="A61" s="4"/>
      <c r="B61" s="7" t="s">
        <v>6</v>
      </c>
      <c r="C61" s="7">
        <v>6</v>
      </c>
      <c r="D61" s="48">
        <f>(((2*C61)+(C61-1))/100)*D60</f>
        <v>1.36</v>
      </c>
      <c r="E61" s="51">
        <f>(C61+2)*D61*20000</f>
        <v>217600.00000000003</v>
      </c>
      <c r="F61" s="7"/>
      <c r="G61" s="42"/>
    </row>
    <row r="62" spans="2:7" ht="15">
      <c r="B62" s="7" t="s">
        <v>8</v>
      </c>
      <c r="C62" s="7">
        <f>F65</f>
        <v>0.5</v>
      </c>
      <c r="D62" s="48">
        <f>C62</f>
        <v>0.5</v>
      </c>
      <c r="E62" s="50">
        <f>D62*300000</f>
        <v>150000</v>
      </c>
      <c r="F62" s="53">
        <f>C62</f>
        <v>0.5</v>
      </c>
      <c r="G62" s="42"/>
    </row>
    <row r="63" spans="2:7" ht="15">
      <c r="B63" s="14" t="s">
        <v>9</v>
      </c>
      <c r="C63" s="14"/>
      <c r="D63" s="49">
        <f>-(0.01*C62)+(D60*0.05*C61)</f>
        <v>2.3950000000000005</v>
      </c>
      <c r="E63" s="52">
        <v>0</v>
      </c>
      <c r="F63" s="17"/>
      <c r="G63" s="26"/>
    </row>
    <row r="64" spans="2:7" ht="15">
      <c r="B64" s="14" t="s">
        <v>12</v>
      </c>
      <c r="C64" s="14"/>
      <c r="D64" s="49">
        <f>IF(C64&gt;0,D60*(0.01+(0.01*C64)),0)</f>
        <v>0</v>
      </c>
      <c r="E64" s="52">
        <f>IF(C64&gt;0,-D64*(30000+(10000*C64)),0)</f>
        <v>0</v>
      </c>
      <c r="F64" s="17"/>
      <c r="G64" s="26"/>
    </row>
    <row r="65" spans="2:7" ht="15">
      <c r="B65" s="14" t="s">
        <v>58</v>
      </c>
      <c r="C65" s="14">
        <v>5</v>
      </c>
      <c r="D65" s="49">
        <f>D60*0.02*C65</f>
        <v>0.8</v>
      </c>
      <c r="E65" s="52">
        <f>D60*400*C65^3</f>
        <v>400000</v>
      </c>
      <c r="F65" s="54">
        <f>C65*0.1</f>
        <v>0.5</v>
      </c>
      <c r="G65" s="26"/>
    </row>
    <row r="66" spans="2:7" ht="15">
      <c r="B66" s="14" t="s">
        <v>59</v>
      </c>
      <c r="C66" s="20">
        <f>D66^0.5*4.8</f>
        <v>8.237281104830645</v>
      </c>
      <c r="D66" s="49">
        <f>D60-SUM(D61:D65)</f>
        <v>2.9449999999999994</v>
      </c>
      <c r="E66" s="52">
        <f>C66*100000</f>
        <v>823728.1104830644</v>
      </c>
      <c r="F66" s="17"/>
      <c r="G66" s="26"/>
    </row>
    <row r="67" spans="4:5" ht="15">
      <c r="D67" s="34"/>
      <c r="E67" s="2"/>
    </row>
    <row r="68" spans="4:5" ht="15">
      <c r="D68" s="34"/>
      <c r="E68" s="2"/>
    </row>
    <row r="69" spans="2:6" ht="15">
      <c r="B69" t="s">
        <v>31</v>
      </c>
      <c r="D69" s="34"/>
      <c r="E69" s="2">
        <f>SUM(E60:E68)</f>
        <v>1671328.1104830643</v>
      </c>
      <c r="F69" s="34">
        <f>F62-SUM(F63:F68)</f>
        <v>0</v>
      </c>
    </row>
    <row r="70" ht="15">
      <c r="E70" s="2"/>
    </row>
    <row r="71" spans="3:6" ht="15">
      <c r="C71" s="21"/>
      <c r="E71" t="s">
        <v>32</v>
      </c>
      <c r="F71" s="47">
        <f>(LOG(D60)-LOG(12.5)+LOG(2)*7)/LOG(2)</f>
        <v>6.356143810225275</v>
      </c>
    </row>
    <row r="72" spans="2:6" ht="15">
      <c r="B72" t="s">
        <v>6</v>
      </c>
      <c r="C72" s="21">
        <f>C61</f>
        <v>6</v>
      </c>
      <c r="F72" s="2"/>
    </row>
    <row r="73" spans="5:6" ht="15">
      <c r="E73" t="s">
        <v>60</v>
      </c>
      <c r="F73" s="2">
        <f>((D60^(1/3))+C64)/3</f>
        <v>0.6666666666666666</v>
      </c>
    </row>
    <row r="74" spans="3:6" ht="15">
      <c r="C74" s="21"/>
      <c r="F74" s="2"/>
    </row>
    <row r="75" spans="2:6" ht="15">
      <c r="B75" t="s">
        <v>3</v>
      </c>
      <c r="C75" s="2">
        <f>E69</f>
        <v>1671328.1104830643</v>
      </c>
      <c r="E75" t="s">
        <v>58</v>
      </c>
      <c r="F75" s="2">
        <f>C65</f>
        <v>5</v>
      </c>
    </row>
    <row r="76" ht="15">
      <c r="E76" s="2"/>
    </row>
    <row r="77" spans="2:8" ht="15">
      <c r="B77" s="4" t="s">
        <v>80</v>
      </c>
      <c r="C77" s="35"/>
      <c r="D77" s="4"/>
      <c r="E77" s="4"/>
      <c r="F77" s="5"/>
      <c r="G77" s="4"/>
      <c r="H77" s="4"/>
    </row>
    <row r="78" spans="2:8" ht="15">
      <c r="B78" s="17" t="s">
        <v>61</v>
      </c>
      <c r="C78" s="20">
        <f>C61</f>
        <v>6</v>
      </c>
      <c r="D78" s="17">
        <f>C61-1</f>
        <v>5</v>
      </c>
      <c r="E78" s="20">
        <f>C78-2</f>
        <v>4</v>
      </c>
      <c r="F78" s="43">
        <f>C78-3</f>
        <v>3</v>
      </c>
      <c r="G78" s="20">
        <f>C78-4</f>
        <v>2</v>
      </c>
      <c r="H78" s="20">
        <f>C78-5</f>
        <v>1</v>
      </c>
    </row>
    <row r="79" spans="2:8" ht="15">
      <c r="B79" s="17" t="s">
        <v>62</v>
      </c>
      <c r="C79" s="20">
        <f>C66</f>
        <v>8.237281104830645</v>
      </c>
      <c r="D79" s="20">
        <f>((($C78-D78)*($D60*0.05))+$D66)^0.5*4.8</f>
        <v>8.778883755922502</v>
      </c>
      <c r="E79" s="20">
        <f>((($C78-E78)*($D60*0.05))+$D66)^0.5*4.8</f>
        <v>9.28896119057454</v>
      </c>
      <c r="F79" s="20">
        <f>((($C78-F78)*($D60*0.05))+$D66)^0.5*4.8</f>
        <v>9.77245107432112</v>
      </c>
      <c r="G79" s="20">
        <f>((($C78-G78)*($D60*0.05))+$D66)^0.5*4.8</f>
        <v>10.233122690557364</v>
      </c>
      <c r="H79" s="20">
        <f>((($C78-H78)*($D60*0.05))+$D66)^0.5*4.8</f>
        <v>10.6739308598098</v>
      </c>
    </row>
    <row r="82" spans="4:7" ht="15">
      <c r="D82" t="s">
        <v>85</v>
      </c>
      <c r="E82" t="s">
        <v>86</v>
      </c>
      <c r="F82" t="s">
        <v>87</v>
      </c>
      <c r="G82" t="s">
        <v>88</v>
      </c>
    </row>
    <row r="83" spans="2:7" ht="15">
      <c r="B83" t="s">
        <v>6</v>
      </c>
      <c r="C83" s="21">
        <f>E5</f>
        <v>83.33333333333333</v>
      </c>
      <c r="D83">
        <v>2</v>
      </c>
      <c r="E83" s="21">
        <f aca="true" t="shared" si="0" ref="E83:E89">C83*D83</f>
        <v>166.66666666666666</v>
      </c>
      <c r="F83" s="33">
        <f aca="true" t="shared" si="1" ref="F83:F89">E83/E$91</f>
        <v>0.4170141784820684</v>
      </c>
      <c r="G83" s="21">
        <f aca="true" t="shared" si="2" ref="G83:G89">F83*100/5</f>
        <v>8.340283569641368</v>
      </c>
    </row>
    <row r="84" spans="2:7" ht="15">
      <c r="B84" t="s">
        <v>82</v>
      </c>
      <c r="C84" s="21">
        <f>E6</f>
        <v>125</v>
      </c>
      <c r="D84">
        <v>1</v>
      </c>
      <c r="E84" s="21">
        <f t="shared" si="0"/>
        <v>125</v>
      </c>
      <c r="F84" s="33">
        <f t="shared" si="1"/>
        <v>0.31276063386155134</v>
      </c>
      <c r="G84" s="21">
        <f t="shared" si="2"/>
        <v>6.255212677231027</v>
      </c>
    </row>
    <row r="85" spans="2:7" ht="15">
      <c r="B85" t="s">
        <v>8</v>
      </c>
      <c r="C85" s="21">
        <f>E7</f>
        <v>16</v>
      </c>
      <c r="D85">
        <v>1</v>
      </c>
      <c r="E85">
        <f t="shared" si="0"/>
        <v>16</v>
      </c>
      <c r="F85" s="33">
        <f t="shared" si="1"/>
        <v>0.04003336113427857</v>
      </c>
      <c r="G85" s="21">
        <f t="shared" si="2"/>
        <v>0.8006672226855714</v>
      </c>
    </row>
    <row r="86" spans="2:7" ht="15">
      <c r="B86" t="s">
        <v>83</v>
      </c>
      <c r="C86">
        <f>E13</f>
        <v>14</v>
      </c>
      <c r="D86">
        <v>2</v>
      </c>
      <c r="E86">
        <f t="shared" si="0"/>
        <v>28</v>
      </c>
      <c r="F86" s="33">
        <f t="shared" si="1"/>
        <v>0.0700583819849875</v>
      </c>
      <c r="G86" s="21">
        <f t="shared" si="2"/>
        <v>1.40116763969975</v>
      </c>
    </row>
    <row r="87" spans="2:7" ht="15">
      <c r="B87" t="s">
        <v>84</v>
      </c>
      <c r="C87">
        <f>SUM(E14)</f>
        <v>0</v>
      </c>
      <c r="D87">
        <v>2</v>
      </c>
      <c r="E87">
        <f t="shared" si="0"/>
        <v>0</v>
      </c>
      <c r="F87" s="33">
        <f t="shared" si="1"/>
        <v>0</v>
      </c>
      <c r="G87" s="21">
        <f t="shared" si="2"/>
        <v>0</v>
      </c>
    </row>
    <row r="88" spans="2:7" ht="15">
      <c r="B88" t="s">
        <v>53</v>
      </c>
      <c r="C88">
        <f>SUM(E15:E16)</f>
        <v>8</v>
      </c>
      <c r="D88">
        <v>8</v>
      </c>
      <c r="E88">
        <f t="shared" si="0"/>
        <v>64</v>
      </c>
      <c r="F88" s="33">
        <f t="shared" si="1"/>
        <v>0.16013344453711428</v>
      </c>
      <c r="G88" s="21">
        <f t="shared" si="2"/>
        <v>3.202668890742286</v>
      </c>
    </row>
    <row r="89" spans="2:7" ht="15">
      <c r="B89" t="s">
        <v>54</v>
      </c>
      <c r="C89">
        <f>SUM(E17)</f>
        <v>0</v>
      </c>
      <c r="D89">
        <v>2</v>
      </c>
      <c r="E89">
        <f t="shared" si="0"/>
        <v>0</v>
      </c>
      <c r="F89" s="33">
        <f t="shared" si="1"/>
        <v>0</v>
      </c>
      <c r="G89" s="21">
        <f t="shared" si="2"/>
        <v>0</v>
      </c>
    </row>
    <row r="91" spans="2:7" ht="15">
      <c r="B91" t="s">
        <v>55</v>
      </c>
      <c r="C91" s="21">
        <f>SUM(C83:C89)</f>
        <v>246.33333333333331</v>
      </c>
      <c r="E91" s="21">
        <f>SUM(E83:E89)</f>
        <v>399.66666666666663</v>
      </c>
      <c r="G91" s="21">
        <f>SUM(G83:G89)</f>
        <v>20</v>
      </c>
    </row>
    <row r="94" spans="2:8" ht="15">
      <c r="B94" t="s">
        <v>93</v>
      </c>
      <c r="E94" s="21">
        <f>IF(100/(E33^0.5)&gt;=1,ROUNDDOWN(100/(E33^0.5),0),0)</f>
        <v>1</v>
      </c>
      <c r="F94" t="s">
        <v>94</v>
      </c>
      <c r="H94" s="21">
        <f>IF(E94&gt;0,((100/(E33^0.5)-ROUNDDOWN(100/(E33^0.5),0))*20),0)</f>
        <v>8.284271247461898</v>
      </c>
    </row>
    <row r="96" spans="2:5" ht="15">
      <c r="B96" t="s">
        <v>97</v>
      </c>
      <c r="E96" s="21">
        <f>IF(100/(E33^0.5)&lt;1,(100/(E33^0.5))*20,0)</f>
        <v>0</v>
      </c>
    </row>
    <row r="98" spans="2:9" ht="15">
      <c r="B98" t="s">
        <v>95</v>
      </c>
      <c r="E98" s="21">
        <f>ROUNDDOWN(300/(E33^0.5),0)</f>
        <v>4</v>
      </c>
      <c r="F98" t="s">
        <v>96</v>
      </c>
      <c r="I98" s="21">
        <f>((300/(E33^0.5))-ROUNDDOWN(E98,0))*20</f>
        <v>4.852813742385695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6">
      <selection activeCell="H27" sqref="H27"/>
    </sheetView>
  </sheetViews>
  <sheetFormatPr defaultColWidth="9.140625" defaultRowHeight="15"/>
  <cols>
    <col min="2" max="2" width="22.28125" style="0" customWidth="1"/>
    <col min="3" max="4" width="18.28125" style="0" customWidth="1"/>
    <col min="5" max="7" width="18.421875" style="0" customWidth="1"/>
    <col min="8" max="8" width="17.57421875" style="0" customWidth="1"/>
  </cols>
  <sheetData>
    <row r="1" spans="2:6" ht="15">
      <c r="B1" s="1" t="s">
        <v>0</v>
      </c>
      <c r="F1" s="2"/>
    </row>
    <row r="2" spans="2:7" ht="15">
      <c r="B2" s="3"/>
      <c r="C2" s="3"/>
      <c r="D2" s="3"/>
      <c r="E2" s="4"/>
      <c r="F2" s="5"/>
      <c r="G2" s="4"/>
    </row>
    <row r="3" spans="2:7" s="6" customFormat="1" ht="105">
      <c r="B3" s="7" t="s">
        <v>1</v>
      </c>
      <c r="C3" s="7" t="s">
        <v>76</v>
      </c>
      <c r="D3" s="7" t="s">
        <v>77</v>
      </c>
      <c r="E3" s="7" t="s">
        <v>2</v>
      </c>
      <c r="F3" s="8" t="s">
        <v>3</v>
      </c>
      <c r="G3" s="7" t="s">
        <v>4</v>
      </c>
    </row>
    <row r="4" spans="1:7" ht="15">
      <c r="A4" s="4"/>
      <c r="B4" s="7" t="s">
        <v>74</v>
      </c>
      <c r="C4" s="7"/>
      <c r="D4" s="7"/>
      <c r="E4" s="38">
        <v>10</v>
      </c>
      <c r="F4" s="10">
        <f>E4*10000*0.6</f>
        <v>60000</v>
      </c>
      <c r="G4" s="7"/>
    </row>
    <row r="5" spans="1:7" ht="15">
      <c r="A5" s="4"/>
      <c r="B5" s="7" t="s">
        <v>6</v>
      </c>
      <c r="C5" s="7">
        <v>1</v>
      </c>
      <c r="D5" s="7"/>
      <c r="E5" s="39">
        <f>IF(C5&lt;1,3*C5*E4/100,(((2*C5)+(C5-1))/120)*E4)</f>
        <v>0.16666666666666666</v>
      </c>
      <c r="F5" s="10">
        <f>(C5+2)*E5*5000</f>
        <v>2500</v>
      </c>
      <c r="G5" s="7"/>
    </row>
    <row r="6" spans="2:7" ht="15">
      <c r="B6" s="7" t="s">
        <v>8</v>
      </c>
      <c r="C6" s="7">
        <f>SUM(G10:G13)</f>
        <v>0.1</v>
      </c>
      <c r="D6" s="7"/>
      <c r="E6" s="39">
        <f>C6*0.8</f>
        <v>0.08000000000000002</v>
      </c>
      <c r="F6" s="10">
        <f>E6*300000</f>
        <v>24000.000000000004</v>
      </c>
      <c r="G6" s="13">
        <f>C6</f>
        <v>0.1</v>
      </c>
    </row>
    <row r="7" spans="2:7" ht="15">
      <c r="B7" s="14" t="s">
        <v>9</v>
      </c>
      <c r="C7" s="14"/>
      <c r="D7" s="14"/>
      <c r="E7" s="40">
        <f>((E4*0.05*C5)+(0.01*C6))/4</f>
        <v>0.12525</v>
      </c>
      <c r="F7" s="16">
        <v>0</v>
      </c>
      <c r="G7" s="17"/>
    </row>
    <row r="8" spans="2:7" ht="15">
      <c r="B8" s="14" t="s">
        <v>12</v>
      </c>
      <c r="C8" s="14"/>
      <c r="D8" s="14"/>
      <c r="E8" s="40">
        <f>IF(C8&gt;0,E4*(0.01+(0.005*C8)),0)</f>
        <v>0</v>
      </c>
      <c r="F8" s="16">
        <f>IF(C8&gt;0,E8*(30000+(5000*C8)),0)</f>
        <v>0</v>
      </c>
      <c r="G8" s="17"/>
    </row>
    <row r="9" spans="2:7" ht="15">
      <c r="B9" s="14" t="s">
        <v>13</v>
      </c>
      <c r="C9" s="14"/>
      <c r="D9" s="14"/>
      <c r="E9" s="40">
        <f>E4*0.2</f>
        <v>2</v>
      </c>
      <c r="F9" s="16">
        <f>E4*500</f>
        <v>5000</v>
      </c>
      <c r="G9" s="17"/>
    </row>
    <row r="10" spans="2:7" ht="15">
      <c r="B10" s="14" t="s">
        <v>14</v>
      </c>
      <c r="C10" s="14">
        <v>1</v>
      </c>
      <c r="D10" s="14"/>
      <c r="E10" s="40">
        <f>(C10*(SUM(D11:D12)+SUM(C13:C13))+C10^2)/5</f>
        <v>0.2</v>
      </c>
      <c r="F10" s="16">
        <f>(400000*C10^3)/10</f>
        <v>40000</v>
      </c>
      <c r="G10" s="17">
        <f>E10/2</f>
        <v>0.1</v>
      </c>
    </row>
    <row r="11" spans="2:7" ht="15">
      <c r="B11" s="17" t="s">
        <v>104</v>
      </c>
      <c r="C11" s="14"/>
      <c r="D11" s="14"/>
      <c r="E11" s="40">
        <f>C11*D11*2</f>
        <v>0</v>
      </c>
      <c r="F11" s="16">
        <f>E11*100000</f>
        <v>0</v>
      </c>
      <c r="G11" s="17">
        <f>E11</f>
        <v>0</v>
      </c>
    </row>
    <row r="12" spans="2:7" ht="15">
      <c r="B12" s="17" t="s">
        <v>105</v>
      </c>
      <c r="C12" s="14"/>
      <c r="D12" s="14"/>
      <c r="E12" s="40">
        <f>C12*D12*6</f>
        <v>0</v>
      </c>
      <c r="F12" s="16">
        <f>E12*100000</f>
        <v>0</v>
      </c>
      <c r="G12" s="17">
        <f>C12*D12*8</f>
        <v>0</v>
      </c>
    </row>
    <row r="13" spans="2:7" ht="15">
      <c r="B13" s="18" t="s">
        <v>75</v>
      </c>
      <c r="C13" s="14"/>
      <c r="D13" s="14"/>
      <c r="E13" s="40">
        <f>C13*D13*1.25</f>
        <v>0</v>
      </c>
      <c r="F13" s="16">
        <f>E13*15000</f>
        <v>0</v>
      </c>
      <c r="G13" s="17"/>
    </row>
    <row r="14" spans="2:7" ht="15">
      <c r="B14" s="14" t="s">
        <v>22</v>
      </c>
      <c r="C14" s="19">
        <f>1</f>
        <v>1</v>
      </c>
      <c r="D14" s="20"/>
      <c r="E14" s="40"/>
      <c r="F14" s="16"/>
      <c r="G14" s="17"/>
    </row>
    <row r="15" spans="2:7" ht="15">
      <c r="B15" s="14" t="s">
        <v>24</v>
      </c>
      <c r="C15" s="19">
        <f>SUM(D11:D12)</f>
        <v>0</v>
      </c>
      <c r="D15" s="20"/>
      <c r="E15" s="40"/>
      <c r="F15" s="16"/>
      <c r="G15" s="17"/>
    </row>
    <row r="16" spans="2:7" ht="15">
      <c r="B16" s="14" t="s">
        <v>65</v>
      </c>
      <c r="C16" s="37"/>
      <c r="D16" s="20"/>
      <c r="E16" s="40">
        <f>SUM(C15:C16)*0.5</f>
        <v>0</v>
      </c>
      <c r="F16" s="16">
        <f>C16*2500</f>
        <v>0</v>
      </c>
      <c r="G16" s="17"/>
    </row>
    <row r="17" spans="2:7" ht="15">
      <c r="B17" s="14" t="s">
        <v>66</v>
      </c>
      <c r="C17" s="37"/>
      <c r="D17" s="20"/>
      <c r="E17" s="40">
        <f>C17*2</f>
        <v>0</v>
      </c>
      <c r="F17" s="16">
        <f>C17*10000</f>
        <v>0</v>
      </c>
      <c r="G17" s="17"/>
    </row>
    <row r="18" spans="2:7" ht="15">
      <c r="B18" s="14" t="s">
        <v>67</v>
      </c>
      <c r="C18" s="37">
        <v>50</v>
      </c>
      <c r="D18" s="20"/>
      <c r="E18" s="40">
        <f>C18*0.1</f>
        <v>5</v>
      </c>
      <c r="F18" s="16">
        <f>C18*1000</f>
        <v>50000</v>
      </c>
      <c r="G18" s="17"/>
    </row>
    <row r="19" spans="2:7" ht="15">
      <c r="B19" s="14" t="s">
        <v>30</v>
      </c>
      <c r="C19" s="17">
        <v>2</v>
      </c>
      <c r="D19" s="17"/>
      <c r="E19" s="40">
        <f>C19</f>
        <v>2</v>
      </c>
      <c r="F19" s="16">
        <f>E19*5000</f>
        <v>10000</v>
      </c>
      <c r="G19" s="17"/>
    </row>
    <row r="20" ht="15">
      <c r="F20" s="2"/>
    </row>
    <row r="21" ht="15">
      <c r="F21" s="2"/>
    </row>
    <row r="22" spans="2:7" ht="15">
      <c r="B22" t="s">
        <v>31</v>
      </c>
      <c r="E22" s="21">
        <f>E4-SUM(E5:E21)</f>
        <v>0.42808333333333337</v>
      </c>
      <c r="F22" s="2">
        <f>SUM(F4:F21)</f>
        <v>191500</v>
      </c>
      <c r="G22">
        <f>G6-SUM(G7:G21)</f>
        <v>0</v>
      </c>
    </row>
    <row r="23" ht="15">
      <c r="F23" s="2"/>
    </row>
    <row r="24" spans="2:7" ht="15">
      <c r="B24" t="s">
        <v>34</v>
      </c>
      <c r="C24" s="22">
        <f>SUM(C14:C17)</f>
        <v>1</v>
      </c>
      <c r="D24" s="23" t="s">
        <v>32</v>
      </c>
      <c r="E24" s="22">
        <f>(LOG(E4)-LOG(12.5)+LOG(2)*7)/LOG(2)</f>
        <v>6.6780719051126365</v>
      </c>
      <c r="F24" s="2" t="s">
        <v>33</v>
      </c>
      <c r="G24" s="23">
        <f>C10</f>
        <v>1</v>
      </c>
    </row>
    <row r="25" ht="15">
      <c r="F25" s="2"/>
    </row>
    <row r="26" spans="2:7" ht="15">
      <c r="B26" t="s">
        <v>6</v>
      </c>
      <c r="C26" s="22">
        <f>C5</f>
        <v>1</v>
      </c>
      <c r="D26" t="s">
        <v>2</v>
      </c>
      <c r="E26" s="24">
        <f>E4</f>
        <v>10</v>
      </c>
      <c r="F26" s="2" t="s">
        <v>35</v>
      </c>
      <c r="G26" s="23">
        <f>C6</f>
        <v>0.1</v>
      </c>
    </row>
    <row r="27" spans="3:7" ht="15">
      <c r="C27" s="22"/>
      <c r="E27" s="24"/>
      <c r="F27" s="2"/>
      <c r="G27" s="23"/>
    </row>
    <row r="28" spans="2:7" ht="15">
      <c r="B28" t="s">
        <v>37</v>
      </c>
      <c r="C28" s="25">
        <f>F22</f>
        <v>191500</v>
      </c>
      <c r="D28" s="2" t="s">
        <v>12</v>
      </c>
      <c r="E28" s="23">
        <f>C8</f>
        <v>0</v>
      </c>
      <c r="F28" t="s">
        <v>60</v>
      </c>
      <c r="G28" s="22">
        <f>(E4^(1/3)+C8)/3</f>
        <v>0.7181448966772946</v>
      </c>
    </row>
    <row r="29" spans="3:7" ht="15">
      <c r="C29" s="22"/>
      <c r="E29" s="24"/>
      <c r="F29" s="2"/>
      <c r="G29" s="23"/>
    </row>
    <row r="30" spans="3:7" ht="15">
      <c r="C30" s="22"/>
      <c r="F30" s="2"/>
      <c r="G30" s="22"/>
    </row>
    <row r="31" ht="15">
      <c r="F31" s="2"/>
    </row>
    <row r="32" ht="15">
      <c r="F32" s="2"/>
    </row>
    <row r="33" spans="2:6" ht="30">
      <c r="B33" s="6" t="s">
        <v>47</v>
      </c>
      <c r="F33" s="2"/>
    </row>
    <row r="34" spans="2:6" ht="15">
      <c r="B34" s="17" t="s">
        <v>39</v>
      </c>
      <c r="C34" s="26" t="s">
        <v>40</v>
      </c>
      <c r="D34" s="26" t="s">
        <v>41</v>
      </c>
      <c r="E34" s="31" t="s">
        <v>48</v>
      </c>
      <c r="F34" s="2"/>
    </row>
    <row r="35" spans="2:6" ht="15">
      <c r="B35" s="17" t="s">
        <v>106</v>
      </c>
      <c r="C35" s="26">
        <f>C11*2</f>
        <v>0</v>
      </c>
      <c r="D35" s="26">
        <f>C35/2</f>
        <v>0</v>
      </c>
      <c r="E35" s="26">
        <f>D11</f>
        <v>0</v>
      </c>
      <c r="F35" s="2"/>
    </row>
    <row r="36" spans="2:6" ht="15">
      <c r="B36" s="17" t="s">
        <v>107</v>
      </c>
      <c r="C36" s="26">
        <f>C12*6</f>
        <v>0</v>
      </c>
      <c r="D36" s="26"/>
      <c r="E36" s="26">
        <f>D12</f>
        <v>0</v>
      </c>
      <c r="F36" s="2"/>
    </row>
    <row r="37" ht="15">
      <c r="F37" s="2"/>
    </row>
    <row r="38" spans="2:6" ht="15">
      <c r="B38" t="s">
        <v>49</v>
      </c>
      <c r="F38" s="2"/>
    </row>
    <row r="39" spans="2:6" ht="15">
      <c r="B39" s="17" t="s">
        <v>50</v>
      </c>
      <c r="C39" s="17">
        <f>C13</f>
        <v>0</v>
      </c>
      <c r="F39" s="2"/>
    </row>
    <row r="40" spans="2:6" ht="15">
      <c r="B40" s="4"/>
      <c r="C40" s="4"/>
      <c r="F40" s="2"/>
    </row>
    <row r="41" spans="2:6" ht="15">
      <c r="B41" s="36" t="s">
        <v>63</v>
      </c>
      <c r="C41" s="4"/>
      <c r="F41" s="2"/>
    </row>
    <row r="42" spans="2:6" ht="15">
      <c r="B42" s="32"/>
      <c r="C42" s="26" t="s">
        <v>40</v>
      </c>
      <c r="D42" s="26" t="s">
        <v>41</v>
      </c>
      <c r="E42" s="26" t="s">
        <v>64</v>
      </c>
      <c r="F42" s="27" t="s">
        <v>43</v>
      </c>
    </row>
    <row r="43" spans="2:6" ht="15">
      <c r="B43" s="32"/>
      <c r="C43" s="20">
        <f>$E$24</f>
        <v>6.6780719051126365</v>
      </c>
      <c r="D43" s="20">
        <f>$E$24*0.75</f>
        <v>5.008553928834477</v>
      </c>
      <c r="E43" s="20">
        <f>$E$24*0.5</f>
        <v>3.3390359525563182</v>
      </c>
      <c r="F43" s="20">
        <f>$E$24*0.25</f>
        <v>1.6695179762781591</v>
      </c>
    </row>
    <row r="44" ht="15">
      <c r="F44" s="2"/>
    </row>
    <row r="46" ht="15">
      <c r="B4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FOTW</dc:creator>
  <cp:keywords/>
  <dc:description/>
  <cp:lastModifiedBy>FOTW</cp:lastModifiedBy>
  <cp:lastPrinted>2013-09-14T14:43:13Z</cp:lastPrinted>
  <dcterms:created xsi:type="dcterms:W3CDTF">2013-09-01T16:44:59Z</dcterms:created>
  <dcterms:modified xsi:type="dcterms:W3CDTF">2013-10-15T00:22:31Z</dcterms:modified>
  <cp:category/>
  <cp:version/>
  <cp:contentType/>
  <cp:contentStatus/>
</cp:coreProperties>
</file>